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Statements" sheetId="1" r:id="rId3"/>
    <sheet state="visible" name="Ratios" sheetId="2" r:id="rId4"/>
    <sheet state="visible" name="Investors Profitability" sheetId="3" r:id="rId5"/>
  </sheets>
  <definedNames/>
  <calcPr/>
</workbook>
</file>

<file path=xl/sharedStrings.xml><?xml version="1.0" encoding="utf-8"?>
<sst xmlns="http://schemas.openxmlformats.org/spreadsheetml/2006/main" count="156" uniqueCount="105">
  <si>
    <t>Saudi Aramco Financial Statements</t>
  </si>
  <si>
    <t>Fundamental analysis by Abdullah Al-Salloum</t>
  </si>
  <si>
    <t>Benchmark (BM): Royal Dutch Shell</t>
  </si>
  <si>
    <t>Ratios</t>
  </si>
  <si>
    <t>Account</t>
  </si>
  <si>
    <t>Income Statement</t>
  </si>
  <si>
    <t>End 2017</t>
  </si>
  <si>
    <t>Total Value</t>
  </si>
  <si>
    <t>End 2017 (BM)</t>
  </si>
  <si>
    <t>IPO Percentage</t>
  </si>
  <si>
    <t>Mid 2018</t>
  </si>
  <si>
    <t>M2018/E2018</t>
  </si>
  <si>
    <t>Market Capitalization</t>
  </si>
  <si>
    <t>End 2018</t>
  </si>
  <si>
    <t>End 2018 (BM)</t>
  </si>
  <si>
    <t>Mid 2019</t>
  </si>
  <si>
    <t>End 2019 (proj.)</t>
  </si>
  <si>
    <t>Revenue</t>
  </si>
  <si>
    <t>Aramco</t>
  </si>
  <si>
    <t>Dividends</t>
  </si>
  <si>
    <t>Other income related to sales</t>
  </si>
  <si>
    <t xml:space="preserve">Liquidity </t>
  </si>
  <si>
    <t>Earnings Per Share (D/MCAP)</t>
  </si>
  <si>
    <t>Revenue and other income related to sales</t>
  </si>
  <si>
    <t>Benchmark, Shell</t>
  </si>
  <si>
    <t>Share price</t>
  </si>
  <si>
    <t>Dividend per share</t>
  </si>
  <si>
    <t>Production royalties and excise and other taxes</t>
  </si>
  <si>
    <t>Purchases</t>
  </si>
  <si>
    <t>Benchmark APPL (Similar size, different industry)</t>
  </si>
  <si>
    <t>Producing and manufacturing</t>
  </si>
  <si>
    <t>Current (CA/CL)</t>
  </si>
  <si>
    <t>Selling, administrative and general</t>
  </si>
  <si>
    <t>Exploration</t>
  </si>
  <si>
    <t>Research and development</t>
  </si>
  <si>
    <t>Depreciation and amortization</t>
  </si>
  <si>
    <t>Operating costs</t>
  </si>
  <si>
    <t>Share Profitability</t>
  </si>
  <si>
    <t>Operating income</t>
  </si>
  <si>
    <t>When benchmark is Shell</t>
  </si>
  <si>
    <t>Share of results of joint ventures and associates</t>
  </si>
  <si>
    <t>Finance and other income</t>
  </si>
  <si>
    <t>Finance costs</t>
  </si>
  <si>
    <t>Price Earnings</t>
  </si>
  <si>
    <t>Income before income taxes</t>
  </si>
  <si>
    <t>Quick ((CA-INV)/CL)</t>
  </si>
  <si>
    <t>Earnings Price Ratio</t>
  </si>
  <si>
    <t>Income taxes</t>
  </si>
  <si>
    <t>When benchmark is Apple</t>
  </si>
  <si>
    <t>Cash (CASH/CL)</t>
  </si>
  <si>
    <t>Net income</t>
  </si>
  <si>
    <t>Profitability</t>
  </si>
  <si>
    <t>Profit Margin (NI/EXP)</t>
  </si>
  <si>
    <t>Net income attributable to</t>
  </si>
  <si>
    <t>Shareholder’s equity</t>
  </si>
  <si>
    <t>Non-controlling interests</t>
  </si>
  <si>
    <t>Net Income</t>
  </si>
  <si>
    <t>Dividends to Assets (D/TA)</t>
  </si>
  <si>
    <t>Balance Sheet</t>
  </si>
  <si>
    <t>Assets</t>
  </si>
  <si>
    <t>Property, plant and equipment</t>
  </si>
  <si>
    <t>Dividends to Net Income (D/NI)</t>
  </si>
  <si>
    <t>Intangible assets</t>
  </si>
  <si>
    <t>Investments in joint ventures and associates</t>
  </si>
  <si>
    <t>Deferred income tax assets</t>
  </si>
  <si>
    <t>Other assets and receivables</t>
  </si>
  <si>
    <t>Investments in securities</t>
  </si>
  <si>
    <t>Non-current assets</t>
  </si>
  <si>
    <t>Dividends to Revenue (D/REV)</t>
  </si>
  <si>
    <t>Inventories</t>
  </si>
  <si>
    <t>Trade receivables</t>
  </si>
  <si>
    <t>Due from the Government</t>
  </si>
  <si>
    <t>Leverage</t>
  </si>
  <si>
    <t>Debt to Equity (TL/TE)</t>
  </si>
  <si>
    <t>Short-term investments</t>
  </si>
  <si>
    <t>Cash and cash equivalents</t>
  </si>
  <si>
    <t>Current assets</t>
  </si>
  <si>
    <t>Debt to Assets (TL/TA)</t>
  </si>
  <si>
    <t>Total assets</t>
  </si>
  <si>
    <t>Equity and liabilities</t>
  </si>
  <si>
    <t>Capital</t>
  </si>
  <si>
    <t>Additional paid-in capital</t>
  </si>
  <si>
    <t>Retained earnings and accounts above</t>
  </si>
  <si>
    <t>Borrowings</t>
  </si>
  <si>
    <t>Deferred income tax liabilities</t>
  </si>
  <si>
    <t>Post-employment benefit obligations</t>
  </si>
  <si>
    <t>Provisions</t>
  </si>
  <si>
    <t>Non-current liabilities</t>
  </si>
  <si>
    <t>Trade and other payables</t>
  </si>
  <si>
    <t>Royalties</t>
  </si>
  <si>
    <t>Current liabilities</t>
  </si>
  <si>
    <t>Total Liabilities</t>
  </si>
  <si>
    <t>Total equity and liabilities</t>
  </si>
  <si>
    <t>Cash Flows</t>
  </si>
  <si>
    <t>Income before income tax</t>
  </si>
  <si>
    <t>Net cash provided by operating activities</t>
  </si>
  <si>
    <t>Net cash used in investing activities</t>
  </si>
  <si>
    <t>Dividends paid to non-controlling interests</t>
  </si>
  <si>
    <t>Interest paid</t>
  </si>
  <si>
    <t>Proceeds from borrowings</t>
  </si>
  <si>
    <t>Repayments of borrowings</t>
  </si>
  <si>
    <t>Net cash used in financing activities</t>
  </si>
  <si>
    <t>Net increase in cash and cash equivalents</t>
  </si>
  <si>
    <t>Cash and cash equivalents at beginning of the year</t>
  </si>
  <si>
    <t>Cash and cash equivalents at end of the year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</si>
</sst>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,000"/>
  </numFmts>
  <fonts count="18">
    <font>
      <sz val="10.0"/>
      <color rgb="FF000000"/>
      <name val="Arial"/>
    </font>
    <font/>
    <font>
      <b/>
      <sz val="14.0"/>
    </font>
    <font>
      <sz val="12.0"/>
      <name val="Roboto"/>
    </font>
    <font>
      <i/>
      <sz val="9.0"/>
    </font>
    <font>
      <b/>
      <sz val="12.0"/>
    </font>
    <font>
      <b/>
      <name val="Arial"/>
    </font>
    <font>
      <name val="Arial"/>
    </font>
    <font>
      <b/>
      <color rgb="FFFFFFFF"/>
      <name val="Arial"/>
    </font>
    <font>
      <color rgb="FFFFFFFF"/>
    </font>
    <font>
      <b/>
    </font>
    <font>
      <b/>
      <color rgb="FFFFFFFF"/>
    </font>
    <font>
      <b/>
      <sz val="12.0"/>
      <name val="Arial"/>
    </font>
    <font>
      <b/>
      <sz val="10.0"/>
      <name val="Arial"/>
    </font>
    <font>
      <i/>
    </font>
    <font>
      <color rgb="FFFFFFFF"/>
      <name val="Arial"/>
    </font>
    <font>
      <b/>
      <color rgb="FF000000"/>
      <name val="Arial"/>
    </font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2">
    <border/>
    <border>
      <top style="thin">
        <color rgb="FF000000"/>
      </top>
      <bottom style="thin">
        <color rgb="FF000000"/>
      </bottom>
    </border>
    <border>
      <right style="dotted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dotted">
        <color rgb="FF000000"/>
      </right>
      <top style="thin">
        <color rgb="FF000000"/>
      </top>
    </border>
    <border>
      <left style="dotted">
        <color rgb="FF000000"/>
      </left>
      <top style="thin">
        <color rgb="FF000000"/>
      </top>
    </border>
    <border>
      <right style="dotted">
        <color rgb="FF000000"/>
      </right>
    </border>
    <border>
      <left style="dotted">
        <color rgb="FF000000"/>
      </left>
    </border>
    <border>
      <left style="dotted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dotted">
        <color rgb="FF000000"/>
      </right>
      <bottom style="thin">
        <color rgb="FF000000"/>
      </bottom>
    </border>
    <border>
      <left style="dotted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1" numFmtId="164" xfId="0" applyAlignment="1" applyFont="1" applyNumberFormat="1">
      <alignment readingOrder="0"/>
    </xf>
    <xf borderId="0" fillId="0" fontId="4" numFmtId="0" xfId="0" applyAlignment="1" applyFont="1">
      <alignment horizontal="center" readingOrder="0" vertical="center"/>
    </xf>
    <xf borderId="0" fillId="0" fontId="5" numFmtId="0" xfId="0" applyAlignment="1" applyFont="1">
      <alignment horizontal="center" readingOrder="0" vertical="center"/>
    </xf>
    <xf borderId="0" fillId="0" fontId="1" numFmtId="0" xfId="0" applyAlignment="1" applyFont="1">
      <alignment readingOrder="0"/>
    </xf>
    <xf borderId="0" fillId="0" fontId="5" numFmtId="164" xfId="0" applyAlignment="1" applyFont="1" applyNumberFormat="1">
      <alignment horizontal="center" readingOrder="0" vertical="center"/>
    </xf>
    <xf borderId="1" fillId="0" fontId="6" numFmtId="0" xfId="0" applyAlignment="1" applyBorder="1" applyFont="1">
      <alignment horizontal="center" vertical="bottom"/>
    </xf>
    <xf borderId="0" fillId="0" fontId="7" numFmtId="0" xfId="0" applyAlignment="1" applyFont="1">
      <alignment vertical="bottom"/>
    </xf>
    <xf borderId="0" fillId="0" fontId="1" numFmtId="10" xfId="0" applyAlignment="1" applyFont="1" applyNumberFormat="1">
      <alignment readingOrder="0"/>
    </xf>
    <xf borderId="1" fillId="0" fontId="6" numFmtId="164" xfId="0" applyAlignment="1" applyBorder="1" applyFont="1" applyNumberFormat="1">
      <alignment horizontal="center" vertical="bottom"/>
    </xf>
    <xf borderId="1" fillId="0" fontId="7" numFmtId="0" xfId="0" applyAlignment="1" applyBorder="1" applyFont="1">
      <alignment vertical="bottom"/>
    </xf>
    <xf borderId="1" fillId="0" fontId="7" numFmtId="164" xfId="0" applyAlignment="1" applyBorder="1" applyFont="1" applyNumberFormat="1">
      <alignment horizontal="center" readingOrder="0" vertical="bottom"/>
    </xf>
    <xf borderId="1" fillId="0" fontId="6" numFmtId="164" xfId="0" applyAlignment="1" applyBorder="1" applyFont="1" applyNumberFormat="1">
      <alignment horizontal="center" readingOrder="0" vertical="bottom"/>
    </xf>
    <xf borderId="1" fillId="0" fontId="7" numFmtId="10" xfId="0" applyAlignment="1" applyBorder="1" applyFont="1" applyNumberFormat="1">
      <alignment horizontal="center" readingOrder="0" vertical="bottom"/>
    </xf>
    <xf borderId="1" fillId="0" fontId="6" numFmtId="0" xfId="0" applyAlignment="1" applyBorder="1" applyFont="1">
      <alignment horizontal="center" readingOrder="0" vertical="bottom"/>
    </xf>
    <xf borderId="1" fillId="0" fontId="7" numFmtId="0" xfId="0" applyAlignment="1" applyBorder="1" applyFont="1">
      <alignment readingOrder="0" vertical="bottom"/>
    </xf>
    <xf borderId="2" fillId="0" fontId="6" numFmtId="164" xfId="0" applyAlignment="1" applyBorder="1" applyFont="1" applyNumberFormat="1">
      <alignment horizontal="center" readingOrder="0" vertical="bottom"/>
    </xf>
    <xf borderId="3" fillId="0" fontId="8" numFmtId="164" xfId="0" applyAlignment="1" applyBorder="1" applyFont="1" applyNumberFormat="1">
      <alignment horizontal="center" vertical="bottom"/>
    </xf>
    <xf borderId="1" fillId="0" fontId="7" numFmtId="164" xfId="0" applyAlignment="1" applyBorder="1" applyFont="1" applyNumberFormat="1">
      <alignment horizontal="center" vertical="bottom"/>
    </xf>
    <xf borderId="3" fillId="0" fontId="6" numFmtId="164" xfId="0" applyAlignment="1" applyBorder="1" applyFont="1" applyNumberFormat="1">
      <alignment horizontal="center" vertical="bottom"/>
    </xf>
    <xf borderId="0" fillId="0" fontId="1" numFmtId="164" xfId="0" applyFont="1" applyNumberFormat="1"/>
    <xf borderId="4" fillId="0" fontId="1" numFmtId="0" xfId="0" applyBorder="1" applyFont="1"/>
    <xf borderId="3" fillId="0" fontId="1" numFmtId="164" xfId="0" applyAlignment="1" applyBorder="1" applyFont="1" applyNumberFormat="1">
      <alignment horizontal="center"/>
    </xf>
    <xf borderId="1" fillId="0" fontId="8" numFmtId="164" xfId="0" applyAlignment="1" applyBorder="1" applyFont="1" applyNumberFormat="1">
      <alignment horizontal="center" vertical="bottom"/>
    </xf>
    <xf borderId="5" fillId="0" fontId="1" numFmtId="164" xfId="0" applyAlignment="1" applyBorder="1" applyFont="1" applyNumberFormat="1">
      <alignment horizontal="center"/>
    </xf>
    <xf borderId="0" fillId="0" fontId="1" numFmtId="10" xfId="0" applyAlignment="1" applyFont="1" applyNumberFormat="1">
      <alignment horizontal="center"/>
    </xf>
    <xf borderId="0" fillId="0" fontId="1" numFmtId="164" xfId="0" applyAlignment="1" applyFont="1" applyNumberFormat="1">
      <alignment horizontal="center"/>
    </xf>
    <xf borderId="5" fillId="0" fontId="9" numFmtId="10" xfId="0" applyAlignment="1" applyBorder="1" applyFont="1" applyNumberFormat="1">
      <alignment horizontal="center"/>
    </xf>
    <xf borderId="3" fillId="0" fontId="1" numFmtId="10" xfId="0" applyAlignment="1" applyBorder="1" applyFont="1" applyNumberFormat="1">
      <alignment horizontal="center"/>
    </xf>
    <xf borderId="6" fillId="0" fontId="1" numFmtId="164" xfId="0" applyAlignment="1" applyBorder="1" applyFont="1" applyNumberFormat="1">
      <alignment horizontal="center"/>
    </xf>
    <xf borderId="4" fillId="0" fontId="1" numFmtId="10" xfId="0" applyAlignment="1" applyBorder="1" applyFont="1" applyNumberFormat="1">
      <alignment horizontal="center"/>
    </xf>
    <xf borderId="0" fillId="0" fontId="9" numFmtId="0" xfId="0" applyAlignment="1" applyFont="1">
      <alignment horizontal="center"/>
    </xf>
    <xf borderId="6" fillId="0" fontId="1" numFmtId="0" xfId="0" applyBorder="1" applyFont="1"/>
    <xf borderId="0" fillId="0" fontId="1" numFmtId="0" xfId="0" applyAlignment="1" applyFont="1">
      <alignment horizontal="center"/>
    </xf>
    <xf borderId="7" fillId="0" fontId="1" numFmtId="164" xfId="0" applyAlignment="1" applyBorder="1" applyFont="1" applyNumberFormat="1">
      <alignment horizontal="center"/>
    </xf>
    <xf borderId="1" fillId="0" fontId="10" numFmtId="0" xfId="0" applyAlignment="1" applyBorder="1" applyFont="1">
      <alignment readingOrder="0"/>
    </xf>
    <xf borderId="2" fillId="0" fontId="10" numFmtId="0" xfId="0" applyBorder="1" applyFont="1"/>
    <xf borderId="1" fillId="0" fontId="10" numFmtId="10" xfId="0" applyAlignment="1" applyBorder="1" applyFont="1" applyNumberFormat="1">
      <alignment horizontal="center"/>
    </xf>
    <xf borderId="0" fillId="0" fontId="10" numFmtId="0" xfId="0" applyAlignment="1" applyFont="1">
      <alignment readingOrder="0"/>
    </xf>
    <xf borderId="1" fillId="0" fontId="10" numFmtId="164" xfId="0" applyAlignment="1" applyBorder="1" applyFont="1" applyNumberFormat="1">
      <alignment horizontal="center"/>
    </xf>
    <xf borderId="2" fillId="0" fontId="10" numFmtId="10" xfId="0" applyAlignment="1" applyBorder="1" applyFont="1" applyNumberFormat="1">
      <alignment horizontal="center"/>
    </xf>
    <xf borderId="1" fillId="0" fontId="10" numFmtId="164" xfId="0" applyAlignment="1" applyBorder="1" applyFont="1" applyNumberFormat="1">
      <alignment horizontal="center" readingOrder="0"/>
    </xf>
    <xf borderId="0" fillId="0" fontId="1" numFmtId="4" xfId="0" applyAlignment="1" applyFont="1" applyNumberFormat="1">
      <alignment horizontal="center"/>
    </xf>
    <xf borderId="8" fillId="0" fontId="10" numFmtId="164" xfId="0" applyAlignment="1" applyBorder="1" applyFont="1" applyNumberFormat="1">
      <alignment horizontal="center"/>
    </xf>
    <xf borderId="1" fillId="0" fontId="11" numFmtId="10" xfId="0" applyAlignment="1" applyBorder="1" applyFont="1" applyNumberFormat="1">
      <alignment horizontal="center"/>
    </xf>
    <xf borderId="0" fillId="0" fontId="1" numFmtId="4" xfId="0" applyAlignment="1" applyFont="1" applyNumberFormat="1">
      <alignment horizontal="center" readingOrder="0"/>
    </xf>
    <xf borderId="0" fillId="0" fontId="1" numFmtId="10" xfId="0" applyFont="1" applyNumberFormat="1"/>
    <xf borderId="9" fillId="0" fontId="12" numFmtId="0" xfId="0" applyAlignment="1" applyBorder="1" applyFont="1">
      <alignment horizontal="center" readingOrder="0"/>
    </xf>
    <xf borderId="9" fillId="0" fontId="1" numFmtId="0" xfId="0" applyBorder="1" applyFont="1"/>
    <xf borderId="9" fillId="0" fontId="6" numFmtId="0" xfId="0" applyAlignment="1" applyBorder="1" applyFont="1">
      <alignment horizontal="center" vertical="bottom"/>
    </xf>
    <xf borderId="9" fillId="0" fontId="6" numFmtId="164" xfId="0" applyAlignment="1" applyBorder="1" applyFont="1" applyNumberFormat="1">
      <alignment horizontal="center" vertical="bottom"/>
    </xf>
    <xf borderId="0" fillId="0" fontId="7" numFmtId="4" xfId="0" applyAlignment="1" applyFont="1" applyNumberFormat="1">
      <alignment horizontal="center" readingOrder="0" vertical="bottom"/>
    </xf>
    <xf borderId="7" fillId="0" fontId="9" numFmtId="10" xfId="0" applyAlignment="1" applyBorder="1" applyFont="1" applyNumberFormat="1">
      <alignment horizontal="center"/>
    </xf>
    <xf borderId="0" fillId="0" fontId="7" numFmtId="4" xfId="0" applyAlignment="1" applyFont="1" applyNumberFormat="1">
      <alignment horizontal="center" vertical="bottom"/>
    </xf>
    <xf borderId="2" fillId="0" fontId="10" numFmtId="164" xfId="0" applyAlignment="1" applyBorder="1" applyFont="1" applyNumberFormat="1">
      <alignment horizontal="center" readingOrder="0"/>
    </xf>
    <xf borderId="0" fillId="0" fontId="5" numFmtId="0" xfId="0" applyAlignment="1" applyFont="1">
      <alignment horizontal="center" readingOrder="0"/>
    </xf>
    <xf borderId="1" fillId="0" fontId="10" numFmtId="0" xfId="0" applyAlignment="1" applyBorder="1" applyFont="1">
      <alignment horizontal="center" readingOrder="0"/>
    </xf>
    <xf borderId="1" fillId="0" fontId="13" numFmtId="164" xfId="0" applyAlignment="1" applyBorder="1" applyFont="1" applyNumberFormat="1">
      <alignment horizontal="center" readingOrder="0"/>
    </xf>
    <xf borderId="0" fillId="0" fontId="14" numFmtId="0" xfId="0" applyAlignment="1" applyFont="1">
      <alignment readingOrder="0"/>
    </xf>
    <xf borderId="7" fillId="0" fontId="1" numFmtId="4" xfId="0" applyAlignment="1" applyBorder="1" applyFont="1" applyNumberFormat="1">
      <alignment horizontal="center"/>
    </xf>
    <xf borderId="6" fillId="0" fontId="1" numFmtId="10" xfId="0" applyAlignment="1" applyBorder="1" applyFont="1" applyNumberFormat="1">
      <alignment horizontal="center"/>
    </xf>
    <xf borderId="6" fillId="0" fontId="1" numFmtId="4" xfId="0" applyAlignment="1" applyBorder="1" applyFont="1" applyNumberFormat="1">
      <alignment horizontal="center"/>
    </xf>
    <xf borderId="0" fillId="0" fontId="9" numFmtId="10" xfId="0" applyAlignment="1" applyFont="1" applyNumberFormat="1">
      <alignment horizontal="center"/>
    </xf>
    <xf borderId="2" fillId="0" fontId="1" numFmtId="0" xfId="0" applyBorder="1" applyFont="1"/>
    <xf borderId="1" fillId="0" fontId="1" numFmtId="164" xfId="0" applyAlignment="1" applyBorder="1" applyFont="1" applyNumberFormat="1">
      <alignment horizontal="center"/>
    </xf>
    <xf borderId="1" fillId="0" fontId="1" numFmtId="164" xfId="0" applyAlignment="1" applyBorder="1" applyFont="1" applyNumberFormat="1">
      <alignment horizontal="center" readingOrder="0"/>
    </xf>
    <xf borderId="8" fillId="0" fontId="1" numFmtId="164" xfId="0" applyAlignment="1" applyBorder="1" applyFont="1" applyNumberFormat="1">
      <alignment horizontal="center"/>
    </xf>
    <xf borderId="1" fillId="0" fontId="1" numFmtId="10" xfId="0" applyAlignment="1" applyBorder="1" applyFont="1" applyNumberFormat="1">
      <alignment horizontal="center"/>
    </xf>
    <xf borderId="2" fillId="0" fontId="1" numFmtId="164" xfId="0" applyAlignment="1" applyBorder="1" applyFont="1" applyNumberFormat="1">
      <alignment horizontal="center" readingOrder="0"/>
    </xf>
    <xf borderId="7" fillId="0" fontId="1" numFmtId="10" xfId="0" applyAlignment="1" applyBorder="1" applyFont="1" applyNumberFormat="1">
      <alignment horizontal="center"/>
    </xf>
    <xf borderId="10" fillId="0" fontId="1" numFmtId="0" xfId="0" applyBorder="1" applyFont="1"/>
    <xf borderId="9" fillId="0" fontId="1" numFmtId="164" xfId="0" applyAlignment="1" applyBorder="1" applyFont="1" applyNumberFormat="1">
      <alignment horizontal="center"/>
    </xf>
    <xf borderId="3" fillId="0" fontId="14" numFmtId="0" xfId="0" applyAlignment="1" applyBorder="1" applyFont="1">
      <alignment readingOrder="0"/>
    </xf>
    <xf borderId="3" fillId="0" fontId="1" numFmtId="0" xfId="0" applyBorder="1" applyFont="1"/>
    <xf borderId="5" fillId="0" fontId="1" numFmtId="0" xfId="0" applyBorder="1" applyFont="1"/>
    <xf borderId="9" fillId="0" fontId="1" numFmtId="164" xfId="0" applyAlignment="1" applyBorder="1" applyFont="1" applyNumberFormat="1">
      <alignment horizontal="center" readingOrder="0"/>
    </xf>
    <xf borderId="11" fillId="0" fontId="1" numFmtId="164" xfId="0" applyAlignment="1" applyBorder="1" applyFont="1" applyNumberFormat="1">
      <alignment horizontal="center"/>
    </xf>
    <xf borderId="9" fillId="0" fontId="1" numFmtId="10" xfId="0" applyAlignment="1" applyBorder="1" applyFont="1" applyNumberFormat="1">
      <alignment horizontal="center"/>
    </xf>
    <xf borderId="10" fillId="0" fontId="10" numFmtId="0" xfId="0" applyBorder="1" applyFont="1"/>
    <xf borderId="9" fillId="0" fontId="10" numFmtId="164" xfId="0" applyAlignment="1" applyBorder="1" applyFont="1" applyNumberFormat="1">
      <alignment horizontal="center"/>
    </xf>
    <xf borderId="9" fillId="0" fontId="10" numFmtId="164" xfId="0" applyAlignment="1" applyBorder="1" applyFont="1" applyNumberFormat="1">
      <alignment horizontal="center" readingOrder="0"/>
    </xf>
    <xf borderId="11" fillId="0" fontId="10" numFmtId="164" xfId="0" applyAlignment="1" applyBorder="1" applyFont="1" applyNumberFormat="1">
      <alignment horizontal="center"/>
    </xf>
    <xf borderId="9" fillId="0" fontId="10" numFmtId="10" xfId="0" applyAlignment="1" applyBorder="1" applyFont="1" applyNumberFormat="1">
      <alignment horizontal="center"/>
    </xf>
    <xf borderId="6" fillId="0" fontId="14" numFmtId="0" xfId="0" applyBorder="1" applyFont="1"/>
    <xf borderId="2" fillId="0" fontId="10" numFmtId="0" xfId="0" applyAlignment="1" applyBorder="1" applyFont="1">
      <alignment readingOrder="0"/>
    </xf>
    <xf borderId="2" fillId="0" fontId="10" numFmtId="164" xfId="0" applyAlignment="1" applyBorder="1" applyFont="1" applyNumberFormat="1">
      <alignment horizontal="center"/>
    </xf>
    <xf borderId="0" fillId="0" fontId="7" numFmtId="0" xfId="0" applyAlignment="1" applyFont="1">
      <alignment vertical="bottom"/>
    </xf>
    <xf borderId="1" fillId="0" fontId="5" numFmtId="0" xfId="0" applyAlignment="1" applyBorder="1" applyFont="1">
      <alignment horizontal="center" readingOrder="0" vertical="center"/>
    </xf>
    <xf borderId="0" fillId="0" fontId="7" numFmtId="10" xfId="0" applyAlignment="1" applyFont="1" applyNumberFormat="1">
      <alignment horizontal="center" vertical="bottom"/>
    </xf>
    <xf borderId="1" fillId="0" fontId="1" numFmtId="0" xfId="0" applyBorder="1" applyFont="1"/>
    <xf borderId="7" fillId="0" fontId="15" numFmtId="10" xfId="0" applyAlignment="1" applyBorder="1" applyFont="1" applyNumberFormat="1">
      <alignment horizontal="center" vertical="bottom"/>
    </xf>
    <xf borderId="6" fillId="0" fontId="10" numFmtId="0" xfId="0" applyAlignment="1" applyBorder="1" applyFont="1">
      <alignment horizontal="left"/>
    </xf>
    <xf borderId="0" fillId="0" fontId="10" numFmtId="0" xfId="0" applyAlignment="1" applyFont="1">
      <alignment horizontal="left"/>
    </xf>
    <xf borderId="7" fillId="0" fontId="10" numFmtId="0" xfId="0" applyAlignment="1" applyBorder="1" applyFont="1">
      <alignment horizontal="left"/>
    </xf>
    <xf borderId="6" fillId="0" fontId="7" numFmtId="10" xfId="0" applyAlignment="1" applyBorder="1" applyFont="1" applyNumberFormat="1">
      <alignment horizontal="center" vertical="bottom"/>
    </xf>
    <xf borderId="0" fillId="0" fontId="15" numFmtId="10" xfId="0" applyAlignment="1" applyFont="1" applyNumberFormat="1">
      <alignment horizontal="center" vertical="bottom"/>
    </xf>
    <xf borderId="6" fillId="0" fontId="1" numFmtId="0" xfId="0" applyAlignment="1" applyBorder="1" applyFont="1">
      <alignment readingOrder="0"/>
    </xf>
    <xf borderId="0" fillId="0" fontId="1" numFmtId="164" xfId="0" applyAlignment="1" applyFont="1" applyNumberFormat="1">
      <alignment horizontal="center" readingOrder="0"/>
    </xf>
    <xf borderId="7" fillId="0" fontId="1" numFmtId="164" xfId="0" applyAlignment="1" applyBorder="1" applyFont="1" applyNumberFormat="1">
      <alignment horizontal="center" readingOrder="0"/>
    </xf>
    <xf borderId="0" fillId="0" fontId="1" numFmtId="10" xfId="0" applyAlignment="1" applyFont="1" applyNumberFormat="1">
      <alignment horizontal="center" readingOrder="0"/>
    </xf>
    <xf borderId="2" fillId="0" fontId="1" numFmtId="0" xfId="0" applyAlignment="1" applyBorder="1" applyFont="1">
      <alignment readingOrder="0"/>
    </xf>
    <xf borderId="2" fillId="0" fontId="1" numFmtId="164" xfId="0" applyAlignment="1" applyBorder="1" applyFont="1" applyNumberFormat="1">
      <alignment horizontal="center"/>
    </xf>
    <xf borderId="4" fillId="2" fontId="16" numFmtId="0" xfId="0" applyAlignment="1" applyBorder="1" applyFill="1" applyFont="1">
      <alignment horizontal="left" readingOrder="0"/>
    </xf>
    <xf borderId="3" fillId="0" fontId="10" numFmtId="164" xfId="0" applyAlignment="1" applyBorder="1" applyFont="1" applyNumberFormat="1">
      <alignment horizontal="center"/>
    </xf>
    <xf borderId="5" fillId="0" fontId="10" numFmtId="164" xfId="0" applyAlignment="1" applyBorder="1" applyFont="1" applyNumberFormat="1">
      <alignment horizontal="center"/>
    </xf>
    <xf borderId="3" fillId="0" fontId="10" numFmtId="10" xfId="0" applyAlignment="1" applyBorder="1" applyFont="1" applyNumberFormat="1">
      <alignment horizontal="center"/>
    </xf>
    <xf borderId="6" fillId="0" fontId="10" numFmtId="164" xfId="0" applyAlignment="1" applyBorder="1" applyFont="1" applyNumberFormat="1">
      <alignment horizontal="center"/>
    </xf>
    <xf borderId="4" fillId="0" fontId="10" numFmtId="0" xfId="0" applyAlignment="1" applyBorder="1" applyFont="1">
      <alignment readingOrder="0"/>
    </xf>
    <xf borderId="1" fillId="0" fontId="6" numFmtId="0" xfId="0" applyAlignment="1" applyBorder="1" applyFont="1">
      <alignment horizontal="center" vertical="bottom"/>
    </xf>
    <xf borderId="3" fillId="0" fontId="6" numFmtId="164" xfId="0" applyAlignment="1" applyBorder="1" applyFont="1" applyNumberFormat="1">
      <alignment horizontal="center" readingOrder="0" vertical="bottom"/>
    </xf>
    <xf borderId="6" fillId="0" fontId="10" numFmtId="0" xfId="0" applyBorder="1" applyFont="1"/>
    <xf borderId="0" fillId="0" fontId="10" numFmtId="164" xfId="0" applyAlignment="1" applyFont="1" applyNumberFormat="1">
      <alignment horizontal="center"/>
    </xf>
    <xf borderId="7" fillId="0" fontId="10" numFmtId="164" xfId="0" applyAlignment="1" applyBorder="1" applyFont="1" applyNumberFormat="1">
      <alignment horizontal="center"/>
    </xf>
    <xf borderId="0" fillId="0" fontId="10" numFmtId="10" xfId="0" applyAlignment="1" applyFont="1" applyNumberFormat="1">
      <alignment horizontal="center"/>
    </xf>
    <xf borderId="2" fillId="0" fontId="1" numFmtId="0" xfId="0" applyBorder="1" applyFont="1"/>
    <xf borderId="10" fillId="0" fontId="1" numFmtId="0" xfId="0" applyBorder="1" applyFont="1"/>
    <xf borderId="6" fillId="0" fontId="1" numFmtId="0" xfId="0" applyBorder="1" applyFont="1"/>
    <xf borderId="0" fillId="2" fontId="17" numFmtId="164" xfId="0" applyAlignment="1" applyFont="1" applyNumberFormat="1">
      <alignment horizontal="center" readingOrder="0"/>
    </xf>
    <xf borderId="2" fillId="0" fontId="1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8.71"/>
    <col customWidth="1" min="2" max="2" width="44.57"/>
    <col customWidth="1" min="3" max="10" width="15.86"/>
  </cols>
  <sheetData>
    <row r="2" ht="22.5" customHeight="1">
      <c r="A2" s="1"/>
      <c r="B2" s="2" t="s">
        <v>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ht="22.5" customHeight="1">
      <c r="A3" s="1"/>
      <c r="B3" s="3" t="s">
        <v>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ht="22.5" customHeight="1">
      <c r="A4" s="1"/>
      <c r="B4" s="5" t="s">
        <v>2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ht="22.5" customHeight="1">
      <c r="A5" s="1"/>
      <c r="B5" s="6"/>
      <c r="C5" s="6"/>
      <c r="D5" s="6"/>
      <c r="E5" s="6"/>
      <c r="F5" s="6"/>
      <c r="G5" s="6"/>
      <c r="H5" s="6"/>
      <c r="I5" s="8"/>
      <c r="J5" s="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ht="22.5" customHeight="1">
      <c r="A6" s="1"/>
      <c r="B6" s="6" t="s">
        <v>5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>
      <c r="A7" s="10"/>
      <c r="B7" s="9" t="s">
        <v>4</v>
      </c>
      <c r="C7" s="12" t="s">
        <v>6</v>
      </c>
      <c r="D7" s="15" t="s">
        <v>8</v>
      </c>
      <c r="E7" s="15" t="s">
        <v>10</v>
      </c>
      <c r="F7" s="17" t="s">
        <v>11</v>
      </c>
      <c r="G7" s="12" t="s">
        <v>13</v>
      </c>
      <c r="H7" s="19" t="s">
        <v>14</v>
      </c>
      <c r="I7" s="15" t="s">
        <v>15</v>
      </c>
      <c r="J7" s="15" t="s">
        <v>16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>
      <c r="B8" s="24" t="s">
        <v>17</v>
      </c>
      <c r="C8" s="25">
        <v>224129.0</v>
      </c>
      <c r="D8" s="23"/>
      <c r="E8" s="27">
        <v>148765.0</v>
      </c>
      <c r="F8" s="31">
        <f t="shared" ref="F8:F25" si="1">G8/E8</f>
        <v>2.119019931</v>
      </c>
      <c r="G8" s="25">
        <v>315236.0</v>
      </c>
      <c r="H8" s="32"/>
      <c r="I8" s="25">
        <v>146859.0</v>
      </c>
      <c r="J8" s="25">
        <f t="shared" ref="J8:J25" si="2">I8*F8</f>
        <v>311197.148</v>
      </c>
    </row>
    <row r="9">
      <c r="B9" s="35" t="s">
        <v>20</v>
      </c>
      <c r="C9" s="29">
        <v>40047.0</v>
      </c>
      <c r="D9" s="29"/>
      <c r="E9" s="37">
        <v>18911.0</v>
      </c>
      <c r="F9" s="28">
        <f t="shared" si="1"/>
        <v>2.152398075</v>
      </c>
      <c r="G9" s="29">
        <v>40704.0</v>
      </c>
      <c r="H9" s="32"/>
      <c r="I9" s="29">
        <v>17023.0</v>
      </c>
      <c r="J9" s="29">
        <f t="shared" si="2"/>
        <v>36640.27243</v>
      </c>
    </row>
    <row r="10">
      <c r="B10" s="39" t="s">
        <v>23</v>
      </c>
      <c r="C10" s="42">
        <v>264176.0</v>
      </c>
      <c r="D10" s="44">
        <f>311870</f>
        <v>311870</v>
      </c>
      <c r="E10" s="46">
        <v>167676.0</v>
      </c>
      <c r="F10" s="40">
        <f t="shared" si="1"/>
        <v>2.122784418</v>
      </c>
      <c r="G10" s="42">
        <v>355940.0</v>
      </c>
      <c r="H10" s="44">
        <f>396556</f>
        <v>396556</v>
      </c>
      <c r="I10" s="42">
        <v>163882.0</v>
      </c>
      <c r="J10" s="42">
        <f t="shared" si="2"/>
        <v>347886.1559</v>
      </c>
    </row>
    <row r="11">
      <c r="B11" s="35" t="s">
        <v>27</v>
      </c>
      <c r="C11" s="29">
        <v>-37572.0</v>
      </c>
      <c r="D11" s="29"/>
      <c r="E11" s="37">
        <v>-25554.0</v>
      </c>
      <c r="F11" s="28">
        <f t="shared" si="1"/>
        <v>2.175823746</v>
      </c>
      <c r="G11" s="29">
        <v>-55601.0</v>
      </c>
      <c r="H11" s="32"/>
      <c r="I11" s="29">
        <v>-25109.0</v>
      </c>
      <c r="J11" s="29">
        <f t="shared" si="2"/>
        <v>-54632.75843</v>
      </c>
    </row>
    <row r="12">
      <c r="B12" s="35" t="s">
        <v>28</v>
      </c>
      <c r="C12" s="29">
        <v>-33625.0</v>
      </c>
      <c r="D12" s="29"/>
      <c r="E12" s="37">
        <v>-23517.0</v>
      </c>
      <c r="F12" s="28">
        <f t="shared" si="1"/>
        <v>2.14240762</v>
      </c>
      <c r="G12" s="29">
        <v>-50383.0</v>
      </c>
      <c r="H12" s="32"/>
      <c r="I12" s="29">
        <v>-25950.0</v>
      </c>
      <c r="J12" s="29">
        <f t="shared" si="2"/>
        <v>-55595.47774</v>
      </c>
    </row>
    <row r="13">
      <c r="B13" s="35" t="s">
        <v>30</v>
      </c>
      <c r="C13" s="29">
        <v>-15190.0</v>
      </c>
      <c r="D13" s="29"/>
      <c r="E13" s="37">
        <v>-6486.0</v>
      </c>
      <c r="F13" s="28">
        <f t="shared" si="1"/>
        <v>2.310669134</v>
      </c>
      <c r="G13" s="29">
        <v>-14987.0</v>
      </c>
      <c r="H13" s="32"/>
      <c r="I13" s="29">
        <v>-7870.0</v>
      </c>
      <c r="J13" s="29">
        <f t="shared" si="2"/>
        <v>-18184.96608</v>
      </c>
    </row>
    <row r="14">
      <c r="B14" s="35" t="s">
        <v>32</v>
      </c>
      <c r="C14" s="29">
        <v>-8265.0</v>
      </c>
      <c r="D14" s="29"/>
      <c r="E14" s="37">
        <v>-4228.0</v>
      </c>
      <c r="F14" s="28">
        <f t="shared" si="1"/>
        <v>1.970908231</v>
      </c>
      <c r="G14" s="29">
        <v>-8333.0</v>
      </c>
      <c r="H14" s="32"/>
      <c r="I14" s="29">
        <v>-4512.0</v>
      </c>
      <c r="J14" s="29">
        <f t="shared" si="2"/>
        <v>-8892.737938</v>
      </c>
    </row>
    <row r="15">
      <c r="B15" s="35" t="s">
        <v>33</v>
      </c>
      <c r="C15" s="29">
        <v>-3660.0</v>
      </c>
      <c r="D15" s="29"/>
      <c r="E15" s="37">
        <v>-1127.0</v>
      </c>
      <c r="F15" s="28">
        <f t="shared" si="1"/>
        <v>1.875776398</v>
      </c>
      <c r="G15" s="29">
        <v>-2114.0</v>
      </c>
      <c r="H15" s="32"/>
      <c r="I15" s="29">
        <v>-941.0</v>
      </c>
      <c r="J15" s="29">
        <f t="shared" si="2"/>
        <v>-1765.10559</v>
      </c>
    </row>
    <row r="16">
      <c r="B16" s="35" t="s">
        <v>34</v>
      </c>
      <c r="C16" s="29">
        <v>-507.0</v>
      </c>
      <c r="D16" s="29"/>
      <c r="E16" s="37">
        <v>-276.0</v>
      </c>
      <c r="F16" s="28">
        <f t="shared" si="1"/>
        <v>2.141304348</v>
      </c>
      <c r="G16" s="29">
        <v>-591.0</v>
      </c>
      <c r="H16" s="32"/>
      <c r="I16" s="29">
        <v>-254.0</v>
      </c>
      <c r="J16" s="29">
        <f t="shared" si="2"/>
        <v>-543.8913043</v>
      </c>
    </row>
    <row r="17">
      <c r="B17" s="35" t="s">
        <v>35</v>
      </c>
      <c r="C17" s="29">
        <v>-9913.0</v>
      </c>
      <c r="D17" s="29"/>
      <c r="E17" s="37">
        <v>-5270.0</v>
      </c>
      <c r="F17" s="28">
        <f t="shared" si="1"/>
        <v>2.091650854</v>
      </c>
      <c r="G17" s="29">
        <v>-11023.0</v>
      </c>
      <c r="H17" s="32"/>
      <c r="I17" s="29">
        <v>-6479.0</v>
      </c>
      <c r="J17" s="29">
        <f t="shared" si="2"/>
        <v>-13551.80588</v>
      </c>
    </row>
    <row r="18">
      <c r="B18" s="39" t="s">
        <v>36</v>
      </c>
      <c r="C18" s="42">
        <v>-108732.0</v>
      </c>
      <c r="D18" s="44">
        <f>-293740</f>
        <v>-293740</v>
      </c>
      <c r="E18" s="46">
        <v>-66458.0</v>
      </c>
      <c r="F18" s="40">
        <f t="shared" si="1"/>
        <v>2.152216437</v>
      </c>
      <c r="G18" s="42">
        <v>-143032.0</v>
      </c>
      <c r="H18" s="57">
        <f>-360935</f>
        <v>-360935</v>
      </c>
      <c r="I18" s="42">
        <v>-71115.0</v>
      </c>
      <c r="J18" s="42">
        <f t="shared" si="2"/>
        <v>-153054.8719</v>
      </c>
    </row>
    <row r="19">
      <c r="B19" s="39" t="s">
        <v>38</v>
      </c>
      <c r="C19" s="42">
        <v>155444.0</v>
      </c>
      <c r="D19" s="60">
        <f>18130</f>
        <v>18130</v>
      </c>
      <c r="E19" s="46">
        <v>101218.0</v>
      </c>
      <c r="F19" s="40">
        <f t="shared" si="1"/>
        <v>2.103459859</v>
      </c>
      <c r="G19" s="42">
        <v>212908.0</v>
      </c>
      <c r="H19" s="57">
        <f>35621</f>
        <v>35621</v>
      </c>
      <c r="I19" s="42">
        <v>92767.0</v>
      </c>
      <c r="J19" s="42">
        <f t="shared" si="2"/>
        <v>195131.6607</v>
      </c>
    </row>
    <row r="20">
      <c r="B20" s="35" t="s">
        <v>40</v>
      </c>
      <c r="C20" s="29">
        <v>-255.0</v>
      </c>
      <c r="D20" s="29"/>
      <c r="E20" s="37">
        <v>84.0</v>
      </c>
      <c r="F20" s="28">
        <f t="shared" si="1"/>
        <v>-4.488095238</v>
      </c>
      <c r="G20" s="29">
        <v>-377.0</v>
      </c>
      <c r="H20" s="32"/>
      <c r="I20" s="29">
        <v>-382.0</v>
      </c>
      <c r="J20" s="29">
        <f t="shared" si="2"/>
        <v>1714.452381</v>
      </c>
    </row>
    <row r="21">
      <c r="B21" s="35" t="s">
        <v>41</v>
      </c>
      <c r="C21" s="29">
        <v>418.0</v>
      </c>
      <c r="D21" s="29"/>
      <c r="E21" s="37">
        <v>294.0</v>
      </c>
      <c r="F21" s="28">
        <f t="shared" si="1"/>
        <v>3.503401361</v>
      </c>
      <c r="G21" s="29">
        <v>1030.0</v>
      </c>
      <c r="H21" s="32"/>
      <c r="I21" s="29">
        <v>845.0</v>
      </c>
      <c r="J21" s="29">
        <f t="shared" si="2"/>
        <v>2960.37415</v>
      </c>
    </row>
    <row r="22">
      <c r="B22" s="35" t="s">
        <v>42</v>
      </c>
      <c r="C22" s="29">
        <v>-557.0</v>
      </c>
      <c r="D22" s="29"/>
      <c r="E22" s="37">
        <v>-370.0</v>
      </c>
      <c r="F22" s="28">
        <f t="shared" si="1"/>
        <v>2.132432432</v>
      </c>
      <c r="G22" s="29">
        <v>-789.0</v>
      </c>
      <c r="H22" s="32"/>
      <c r="I22" s="29">
        <v>-741.0</v>
      </c>
      <c r="J22" s="29">
        <f t="shared" si="2"/>
        <v>-1580.132432</v>
      </c>
    </row>
    <row r="23">
      <c r="B23" s="66" t="s">
        <v>44</v>
      </c>
      <c r="C23" s="67">
        <v>155050.0</v>
      </c>
      <c r="D23" s="68">
        <f>18130</f>
        <v>18130</v>
      </c>
      <c r="E23" s="69">
        <v>101226.0</v>
      </c>
      <c r="F23" s="70">
        <f t="shared" si="1"/>
        <v>2.101950092</v>
      </c>
      <c r="G23" s="67">
        <v>212772.0</v>
      </c>
      <c r="H23" s="71">
        <f>35621</f>
        <v>35621</v>
      </c>
      <c r="I23" s="67">
        <v>92489.0</v>
      </c>
      <c r="J23" s="67">
        <f t="shared" si="2"/>
        <v>194407.262</v>
      </c>
    </row>
    <row r="24">
      <c r="B24" s="73" t="s">
        <v>47</v>
      </c>
      <c r="C24" s="74">
        <v>-79152.0</v>
      </c>
      <c r="D24" s="78">
        <f>-4695</f>
        <v>-4695</v>
      </c>
      <c r="E24" s="79">
        <v>-48207.0</v>
      </c>
      <c r="F24" s="80">
        <f t="shared" si="1"/>
        <v>2.109672869</v>
      </c>
      <c r="G24" s="74">
        <v>-101701.0</v>
      </c>
      <c r="H24" s="71">
        <f>-11715</f>
        <v>-11715</v>
      </c>
      <c r="I24" s="74">
        <v>-45590.0</v>
      </c>
      <c r="J24" s="74">
        <f t="shared" si="2"/>
        <v>-96179.9861</v>
      </c>
    </row>
    <row r="25">
      <c r="B25" s="81" t="s">
        <v>50</v>
      </c>
      <c r="C25" s="82">
        <v>75898.0</v>
      </c>
      <c r="D25" s="83">
        <f>D23+D24</f>
        <v>13435</v>
      </c>
      <c r="E25" s="84">
        <v>53019.0</v>
      </c>
      <c r="F25" s="85">
        <f t="shared" si="1"/>
        <v>2.094928233</v>
      </c>
      <c r="G25" s="82">
        <v>111071.0</v>
      </c>
      <c r="H25" s="57">
        <f>H23+H24</f>
        <v>23906</v>
      </c>
      <c r="I25" s="82">
        <v>46899.0</v>
      </c>
      <c r="J25" s="82">
        <f t="shared" si="2"/>
        <v>98250.03921</v>
      </c>
    </row>
    <row r="26">
      <c r="B26" s="86" t="s">
        <v>53</v>
      </c>
      <c r="C26" s="29"/>
      <c r="D26" s="29"/>
      <c r="E26" s="37"/>
      <c r="F26" s="28"/>
      <c r="G26" s="29"/>
      <c r="H26" s="32"/>
      <c r="I26" s="29"/>
      <c r="J26" s="29"/>
    </row>
    <row r="27">
      <c r="B27" s="35" t="s">
        <v>54</v>
      </c>
      <c r="C27" s="29">
        <v>75519.0</v>
      </c>
      <c r="D27" s="29"/>
      <c r="E27" s="37">
        <v>52896.0</v>
      </c>
      <c r="F27" s="28">
        <f t="shared" ref="F27:F29" si="3">G27/E27</f>
        <v>2.098173775</v>
      </c>
      <c r="G27" s="29">
        <v>110985.0</v>
      </c>
      <c r="H27" s="32"/>
      <c r="I27" s="29">
        <v>46938.0</v>
      </c>
      <c r="J27" s="29">
        <f t="shared" ref="J27:J29" si="4">I27*F27</f>
        <v>98484.08065</v>
      </c>
    </row>
    <row r="28">
      <c r="B28" s="35" t="s">
        <v>55</v>
      </c>
      <c r="C28" s="29">
        <v>379.0</v>
      </c>
      <c r="D28" s="29"/>
      <c r="E28" s="37">
        <v>123.0</v>
      </c>
      <c r="F28" s="28">
        <f t="shared" si="3"/>
        <v>0.6991869919</v>
      </c>
      <c r="G28" s="29">
        <v>86.0</v>
      </c>
      <c r="H28" s="32"/>
      <c r="I28" s="29">
        <v>-39.0</v>
      </c>
      <c r="J28" s="29">
        <f t="shared" si="4"/>
        <v>-27.26829268</v>
      </c>
    </row>
    <row r="29">
      <c r="B29" s="87" t="s">
        <v>56</v>
      </c>
      <c r="C29" s="42">
        <v>75898.0</v>
      </c>
      <c r="D29" s="42">
        <f>D25</f>
        <v>13435</v>
      </c>
      <c r="E29" s="46">
        <v>53019.0</v>
      </c>
      <c r="F29" s="40">
        <f t="shared" si="3"/>
        <v>2.094928233</v>
      </c>
      <c r="G29" s="42">
        <v>111071.0</v>
      </c>
      <c r="H29" s="88">
        <f>H25</f>
        <v>23906</v>
      </c>
      <c r="I29" s="42">
        <v>46899.0</v>
      </c>
      <c r="J29" s="42">
        <f t="shared" si="4"/>
        <v>98250.03921</v>
      </c>
    </row>
    <row r="30">
      <c r="C30" s="23"/>
      <c r="D30" s="23"/>
      <c r="E30" s="23"/>
      <c r="F30" s="49"/>
      <c r="G30" s="23"/>
      <c r="H30" s="23"/>
      <c r="I30" s="23"/>
      <c r="J30" s="23"/>
    </row>
    <row r="31" ht="22.5" customHeight="1">
      <c r="A31" s="1"/>
      <c r="B31" s="90" t="s">
        <v>58</v>
      </c>
      <c r="C31" s="92"/>
      <c r="D31" s="92"/>
      <c r="E31" s="92"/>
      <c r="F31" s="92"/>
      <c r="G31" s="92"/>
      <c r="H31" s="92"/>
      <c r="I31" s="92"/>
      <c r="J31" s="9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>
      <c r="A32" s="10"/>
      <c r="B32" s="9" t="s">
        <v>4</v>
      </c>
      <c r="C32" s="12" t="s">
        <v>6</v>
      </c>
      <c r="D32" s="15" t="s">
        <v>8</v>
      </c>
      <c r="E32" s="15" t="s">
        <v>10</v>
      </c>
      <c r="F32" s="17" t="s">
        <v>11</v>
      </c>
      <c r="G32" s="12" t="s">
        <v>13</v>
      </c>
      <c r="H32" s="15" t="s">
        <v>14</v>
      </c>
      <c r="I32" s="15" t="s">
        <v>15</v>
      </c>
      <c r="J32" s="15" t="s">
        <v>16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>
      <c r="B33" s="94"/>
      <c r="C33" s="95"/>
      <c r="D33" s="95"/>
      <c r="E33" s="96"/>
      <c r="F33" s="95"/>
      <c r="G33" s="95"/>
      <c r="H33" s="94"/>
      <c r="I33" s="95"/>
      <c r="J33" s="95"/>
    </row>
    <row r="34">
      <c r="B34" s="94" t="s">
        <v>59</v>
      </c>
      <c r="C34" s="95"/>
      <c r="D34" s="95"/>
      <c r="E34" s="96"/>
      <c r="F34" s="95"/>
      <c r="G34" s="95"/>
      <c r="H34" s="94"/>
      <c r="I34" s="95"/>
      <c r="J34" s="95"/>
    </row>
    <row r="35">
      <c r="B35" s="35"/>
      <c r="C35" s="29"/>
      <c r="D35" s="29"/>
      <c r="E35" s="37"/>
      <c r="F35" s="28"/>
      <c r="G35" s="29"/>
      <c r="H35" s="32"/>
      <c r="I35" s="29"/>
      <c r="J35" s="29"/>
    </row>
    <row r="36">
      <c r="B36" s="35" t="s">
        <v>60</v>
      </c>
      <c r="C36" s="29">
        <v>200302.0</v>
      </c>
      <c r="D36" s="29"/>
      <c r="E36" s="37">
        <f t="shared" ref="E36:E42" si="5">AVERAGE(C36,G36)</f>
        <v>216661.5</v>
      </c>
      <c r="F36" s="28">
        <f t="shared" ref="F36:F50" si="6">G36/E36</f>
        <v>1.075507185</v>
      </c>
      <c r="G36" s="29">
        <v>233021.0</v>
      </c>
      <c r="H36" s="32"/>
      <c r="I36" s="29">
        <v>247866.0</v>
      </c>
      <c r="J36" s="29">
        <f t="shared" ref="J36:J50" si="7">I36*F36</f>
        <v>266581.664</v>
      </c>
    </row>
    <row r="37">
      <c r="B37" s="35" t="s">
        <v>62</v>
      </c>
      <c r="C37" s="29">
        <v>6492.0</v>
      </c>
      <c r="D37" s="29"/>
      <c r="E37" s="37">
        <f t="shared" si="5"/>
        <v>6832</v>
      </c>
      <c r="F37" s="28">
        <f t="shared" si="6"/>
        <v>1.049765808</v>
      </c>
      <c r="G37" s="29">
        <v>7172.0</v>
      </c>
      <c r="H37" s="32"/>
      <c r="I37" s="29">
        <v>7314.0</v>
      </c>
      <c r="J37" s="29">
        <f t="shared" si="7"/>
        <v>7677.987119</v>
      </c>
    </row>
    <row r="38">
      <c r="B38" s="35" t="s">
        <v>63</v>
      </c>
      <c r="C38" s="29">
        <v>7273.0</v>
      </c>
      <c r="D38" s="29"/>
      <c r="E38" s="37">
        <f t="shared" si="5"/>
        <v>6647</v>
      </c>
      <c r="F38" s="28">
        <f t="shared" si="6"/>
        <v>0.9058221754</v>
      </c>
      <c r="G38" s="29">
        <v>6021.0</v>
      </c>
      <c r="H38" s="32"/>
      <c r="I38" s="29">
        <v>6030.0</v>
      </c>
      <c r="J38" s="29">
        <f t="shared" si="7"/>
        <v>5462.107718</v>
      </c>
    </row>
    <row r="39">
      <c r="B39" s="35" t="s">
        <v>64</v>
      </c>
      <c r="C39" s="29">
        <v>3628.0</v>
      </c>
      <c r="D39" s="29"/>
      <c r="E39" s="37">
        <f t="shared" si="5"/>
        <v>3129.5</v>
      </c>
      <c r="F39" s="28">
        <f t="shared" si="6"/>
        <v>0.8407093785</v>
      </c>
      <c r="G39" s="29">
        <v>2631.0</v>
      </c>
      <c r="H39" s="32"/>
      <c r="I39" s="29">
        <v>2857.0</v>
      </c>
      <c r="J39" s="29">
        <f t="shared" si="7"/>
        <v>2401.906694</v>
      </c>
    </row>
    <row r="40">
      <c r="B40" s="35" t="s">
        <v>65</v>
      </c>
      <c r="C40" s="29">
        <v>3765.0</v>
      </c>
      <c r="D40" s="29"/>
      <c r="E40" s="37">
        <f t="shared" si="5"/>
        <v>3633</v>
      </c>
      <c r="F40" s="28">
        <f t="shared" si="6"/>
        <v>0.9636663914</v>
      </c>
      <c r="G40" s="29">
        <v>3501.0</v>
      </c>
      <c r="H40" s="32"/>
      <c r="I40" s="29">
        <v>4834.0</v>
      </c>
      <c r="J40" s="29">
        <f t="shared" si="7"/>
        <v>4658.363336</v>
      </c>
    </row>
    <row r="41">
      <c r="B41" s="35" t="s">
        <v>66</v>
      </c>
      <c r="C41" s="29">
        <v>5033.0</v>
      </c>
      <c r="D41" s="29"/>
      <c r="E41" s="37">
        <f t="shared" si="5"/>
        <v>4811.5</v>
      </c>
      <c r="F41" s="28">
        <f t="shared" si="6"/>
        <v>0.9539644601</v>
      </c>
      <c r="G41" s="29">
        <v>4590.0</v>
      </c>
      <c r="H41" s="32"/>
      <c r="I41" s="29">
        <v>5028.0</v>
      </c>
      <c r="J41" s="29">
        <f t="shared" si="7"/>
        <v>4796.533306</v>
      </c>
    </row>
    <row r="42">
      <c r="B42" s="87" t="s">
        <v>67</v>
      </c>
      <c r="C42" s="42">
        <v>226493.0</v>
      </c>
      <c r="D42" s="42">
        <f>311693</f>
        <v>311693</v>
      </c>
      <c r="E42" s="46">
        <f t="shared" si="5"/>
        <v>241714.5</v>
      </c>
      <c r="F42" s="40">
        <f t="shared" si="6"/>
        <v>1.062973053</v>
      </c>
      <c r="G42" s="42">
        <v>256936.0</v>
      </c>
      <c r="H42" s="88">
        <f>301712</f>
        <v>301712</v>
      </c>
      <c r="I42" s="42">
        <v>273929.0</v>
      </c>
      <c r="J42" s="42">
        <f t="shared" si="7"/>
        <v>291179.1454</v>
      </c>
    </row>
    <row r="43">
      <c r="B43" s="35" t="s">
        <v>69</v>
      </c>
      <c r="C43" s="29">
        <v>9070.0</v>
      </c>
      <c r="D43" s="29"/>
      <c r="E43" s="37">
        <f t="shared" ref="E43:E50" si="8">Average(C43,G43)</f>
        <v>10345.5</v>
      </c>
      <c r="F43" s="28">
        <f t="shared" si="6"/>
        <v>1.123290319</v>
      </c>
      <c r="G43" s="29">
        <v>11621.0</v>
      </c>
      <c r="H43" s="32"/>
      <c r="I43" s="29">
        <v>12044.0</v>
      </c>
      <c r="J43" s="29">
        <f t="shared" si="7"/>
        <v>13528.90861</v>
      </c>
    </row>
    <row r="44">
      <c r="B44" s="35" t="s">
        <v>70</v>
      </c>
      <c r="C44" s="29">
        <v>23171.0</v>
      </c>
      <c r="D44" s="29"/>
      <c r="E44" s="37">
        <f t="shared" si="8"/>
        <v>24094.5</v>
      </c>
      <c r="F44" s="28">
        <f t="shared" si="6"/>
        <v>1.038328249</v>
      </c>
      <c r="G44" s="29">
        <v>25018.0</v>
      </c>
      <c r="H44" s="32"/>
      <c r="I44" s="29">
        <v>26714.0</v>
      </c>
      <c r="J44" s="29">
        <f t="shared" si="7"/>
        <v>27737.90085</v>
      </c>
    </row>
    <row r="45">
      <c r="B45" s="35" t="s">
        <v>71</v>
      </c>
      <c r="C45" s="29">
        <v>10398.0</v>
      </c>
      <c r="D45" s="29"/>
      <c r="E45" s="37">
        <f t="shared" si="8"/>
        <v>11617.5</v>
      </c>
      <c r="F45" s="28">
        <f t="shared" si="6"/>
        <v>1.104970949</v>
      </c>
      <c r="G45" s="29">
        <v>12837.0</v>
      </c>
      <c r="H45" s="32"/>
      <c r="I45" s="29">
        <v>12457.0</v>
      </c>
      <c r="J45" s="29">
        <f t="shared" si="7"/>
        <v>13764.62311</v>
      </c>
    </row>
    <row r="46">
      <c r="B46" s="35" t="s">
        <v>65</v>
      </c>
      <c r="C46" s="29">
        <v>1568.0</v>
      </c>
      <c r="D46" s="29"/>
      <c r="E46" s="37">
        <f t="shared" si="8"/>
        <v>2620.5</v>
      </c>
      <c r="F46" s="28">
        <f t="shared" si="6"/>
        <v>1.401640908</v>
      </c>
      <c r="G46" s="29">
        <v>3673.0</v>
      </c>
      <c r="H46" s="32"/>
      <c r="I46" s="29">
        <v>3057.0</v>
      </c>
      <c r="J46" s="29">
        <f t="shared" si="7"/>
        <v>4284.816256</v>
      </c>
    </row>
    <row r="47">
      <c r="B47" s="35" t="s">
        <v>74</v>
      </c>
      <c r="C47" s="29">
        <v>1649.0</v>
      </c>
      <c r="D47" s="29"/>
      <c r="E47" s="37">
        <f t="shared" si="8"/>
        <v>850.5</v>
      </c>
      <c r="F47" s="28">
        <f t="shared" si="6"/>
        <v>0.06114050558</v>
      </c>
      <c r="G47" s="29">
        <v>52.0</v>
      </c>
      <c r="H47" s="32"/>
      <c r="I47" s="29">
        <v>12120.0</v>
      </c>
      <c r="J47" s="29">
        <f t="shared" si="7"/>
        <v>741.0229277</v>
      </c>
    </row>
    <row r="48">
      <c r="B48" s="35" t="s">
        <v>75</v>
      </c>
      <c r="C48" s="29">
        <v>21665.0</v>
      </c>
      <c r="D48" s="29">
        <f>20312</f>
        <v>20312</v>
      </c>
      <c r="E48" s="37">
        <f t="shared" si="8"/>
        <v>35253</v>
      </c>
      <c r="F48" s="28">
        <f t="shared" si="6"/>
        <v>1.385442374</v>
      </c>
      <c r="G48" s="29">
        <v>48841.0</v>
      </c>
      <c r="H48" s="32">
        <f>26741</f>
        <v>26741</v>
      </c>
      <c r="I48" s="29">
        <v>39527.0</v>
      </c>
      <c r="J48" s="29">
        <f t="shared" si="7"/>
        <v>54762.38071</v>
      </c>
    </row>
    <row r="49">
      <c r="B49" s="87" t="s">
        <v>76</v>
      </c>
      <c r="C49" s="42">
        <v>67521.0</v>
      </c>
      <c r="D49" s="42">
        <f>95404</f>
        <v>95404</v>
      </c>
      <c r="E49" s="46">
        <f t="shared" si="8"/>
        <v>84781.5</v>
      </c>
      <c r="F49" s="40">
        <f t="shared" si="6"/>
        <v>1.203588047</v>
      </c>
      <c r="G49" s="42">
        <v>102042.0</v>
      </c>
      <c r="H49" s="88">
        <f>97482</f>
        <v>97482</v>
      </c>
      <c r="I49" s="42">
        <v>105919.0</v>
      </c>
      <c r="J49" s="42">
        <f t="shared" si="7"/>
        <v>127482.8423</v>
      </c>
    </row>
    <row r="50">
      <c r="B50" s="81" t="s">
        <v>78</v>
      </c>
      <c r="C50" s="82">
        <v>294014.0</v>
      </c>
      <c r="D50" s="82">
        <f>D42+D49</f>
        <v>407097</v>
      </c>
      <c r="E50" s="84">
        <f t="shared" si="8"/>
        <v>326496</v>
      </c>
      <c r="F50" s="85">
        <f t="shared" si="6"/>
        <v>1.099486671</v>
      </c>
      <c r="G50" s="82">
        <v>358978.0</v>
      </c>
      <c r="H50" s="88">
        <f>H42+H49</f>
        <v>399194</v>
      </c>
      <c r="I50" s="82">
        <v>379848.0</v>
      </c>
      <c r="J50" s="82">
        <f t="shared" si="7"/>
        <v>417637.8128</v>
      </c>
    </row>
    <row r="51">
      <c r="B51" s="94"/>
      <c r="C51" s="95"/>
      <c r="D51" s="95"/>
      <c r="E51" s="96"/>
      <c r="F51" s="95"/>
      <c r="G51" s="95"/>
      <c r="H51" s="94"/>
      <c r="I51" s="95"/>
      <c r="J51" s="95"/>
    </row>
    <row r="52">
      <c r="B52" s="94" t="s">
        <v>79</v>
      </c>
      <c r="C52" s="95"/>
      <c r="D52" s="95"/>
      <c r="E52" s="96"/>
      <c r="F52" s="95"/>
      <c r="G52" s="95"/>
      <c r="H52" s="94"/>
      <c r="I52" s="95"/>
      <c r="J52" s="95"/>
    </row>
    <row r="53">
      <c r="B53" s="99"/>
      <c r="C53" s="100"/>
      <c r="D53" s="100"/>
      <c r="E53" s="101"/>
      <c r="F53" s="102"/>
      <c r="G53" s="29"/>
      <c r="H53" s="32"/>
      <c r="I53" s="29"/>
      <c r="J53" s="29"/>
    </row>
    <row r="54">
      <c r="B54" s="99" t="s">
        <v>80</v>
      </c>
      <c r="C54" s="100">
        <v>16000.0</v>
      </c>
      <c r="D54" s="100"/>
      <c r="E54" s="101">
        <v>16000.0</v>
      </c>
      <c r="F54" s="102">
        <v>1.0</v>
      </c>
      <c r="G54" s="29">
        <v>16000.0</v>
      </c>
      <c r="H54" s="32"/>
      <c r="I54" s="29">
        <v>16000.0</v>
      </c>
      <c r="J54" s="29">
        <v>16000.0</v>
      </c>
    </row>
    <row r="55">
      <c r="B55" s="35" t="s">
        <v>81</v>
      </c>
      <c r="C55" s="29">
        <v>7195.0</v>
      </c>
      <c r="D55" s="29"/>
      <c r="E55" s="37">
        <v>7195.0</v>
      </c>
      <c r="F55" s="28">
        <f t="shared" ref="F55:F58" si="9">G55/E55</f>
        <v>1</v>
      </c>
      <c r="G55" s="29">
        <v>7195.0</v>
      </c>
      <c r="H55" s="32"/>
      <c r="I55" s="29">
        <v>7195.0</v>
      </c>
      <c r="J55" s="29">
        <f t="shared" ref="J55:J58" si="10">I55*F55</f>
        <v>7195</v>
      </c>
    </row>
    <row r="56">
      <c r="B56" s="103" t="s">
        <v>82</v>
      </c>
      <c r="C56" s="67">
        <v>217002.0</v>
      </c>
      <c r="D56" s="67">
        <f>177645</f>
        <v>177645</v>
      </c>
      <c r="E56" s="69">
        <f t="shared" ref="E56:E58" si="11">AVERAGE(C56,G56)</f>
        <v>244072</v>
      </c>
      <c r="F56" s="70">
        <f t="shared" si="9"/>
        <v>1.110909895</v>
      </c>
      <c r="G56" s="67">
        <v>271142.0</v>
      </c>
      <c r="H56" s="104">
        <f>182606</f>
        <v>182606</v>
      </c>
      <c r="I56" s="67">
        <v>270120.0</v>
      </c>
      <c r="J56" s="67">
        <f t="shared" si="10"/>
        <v>300078.981</v>
      </c>
    </row>
    <row r="57">
      <c r="B57" s="35" t="s">
        <v>55</v>
      </c>
      <c r="C57" s="29">
        <v>3348.0</v>
      </c>
      <c r="D57" s="29"/>
      <c r="E57" s="37">
        <f t="shared" si="11"/>
        <v>3227.5</v>
      </c>
      <c r="F57" s="28">
        <f t="shared" si="9"/>
        <v>0.9626646011</v>
      </c>
      <c r="G57" s="29">
        <v>3107.0</v>
      </c>
      <c r="H57" s="104"/>
      <c r="I57" s="29">
        <v>2980.0</v>
      </c>
      <c r="J57" s="29">
        <f t="shared" si="10"/>
        <v>2868.740511</v>
      </c>
    </row>
    <row r="58">
      <c r="B58" s="105" t="s">
        <v>54</v>
      </c>
      <c r="C58" s="106">
        <v>220350.0</v>
      </c>
      <c r="D58" s="106">
        <f>197812</f>
        <v>197812</v>
      </c>
      <c r="E58" s="107">
        <f t="shared" si="11"/>
        <v>247299.5</v>
      </c>
      <c r="F58" s="108">
        <f t="shared" si="9"/>
        <v>1.10897515</v>
      </c>
      <c r="G58" s="106">
        <v>274249.0</v>
      </c>
      <c r="H58" s="109">
        <f>202534</f>
        <v>202534</v>
      </c>
      <c r="I58" s="106">
        <v>273100.0</v>
      </c>
      <c r="J58" s="106">
        <f t="shared" si="10"/>
        <v>302861.1133</v>
      </c>
    </row>
    <row r="59">
      <c r="B59" s="35"/>
      <c r="C59" s="29"/>
      <c r="D59" s="29"/>
      <c r="E59" s="37"/>
      <c r="F59" s="28"/>
      <c r="G59" s="29"/>
      <c r="H59" s="32"/>
      <c r="I59" s="29"/>
      <c r="J59" s="29"/>
    </row>
    <row r="60">
      <c r="B60" s="35" t="s">
        <v>83</v>
      </c>
      <c r="C60" s="29">
        <v>18318.0</v>
      </c>
      <c r="D60" s="29"/>
      <c r="E60" s="37">
        <f t="shared" ref="E60:E64" si="12">AVERAGE(C60,G60)</f>
        <v>18669.5</v>
      </c>
      <c r="F60" s="28">
        <f t="shared" ref="F60:F70" si="13">G60/E60</f>
        <v>1.018827499</v>
      </c>
      <c r="G60" s="29">
        <v>19021.0</v>
      </c>
      <c r="H60" s="32"/>
      <c r="I60" s="29">
        <v>35859.0</v>
      </c>
      <c r="J60" s="29">
        <f t="shared" ref="J60:J70" si="14">I60*F60</f>
        <v>36534.1353</v>
      </c>
    </row>
    <row r="61">
      <c r="B61" s="35" t="s">
        <v>84</v>
      </c>
      <c r="C61" s="29">
        <v>1682.0</v>
      </c>
      <c r="D61" s="29"/>
      <c r="E61" s="37">
        <f t="shared" si="12"/>
        <v>4024.5</v>
      </c>
      <c r="F61" s="28">
        <f t="shared" si="13"/>
        <v>1.582059883</v>
      </c>
      <c r="G61" s="29">
        <v>6367.0</v>
      </c>
      <c r="H61" s="32"/>
      <c r="I61" s="29">
        <v>7189.0</v>
      </c>
      <c r="J61" s="29">
        <f t="shared" si="14"/>
        <v>11373.4285</v>
      </c>
    </row>
    <row r="62">
      <c r="B62" s="35" t="s">
        <v>85</v>
      </c>
      <c r="C62" s="29">
        <v>10184.0</v>
      </c>
      <c r="D62" s="29"/>
      <c r="E62" s="37">
        <f t="shared" si="12"/>
        <v>8186.5</v>
      </c>
      <c r="F62" s="28">
        <f t="shared" si="13"/>
        <v>0.7560007329</v>
      </c>
      <c r="G62" s="29">
        <v>6189.0</v>
      </c>
      <c r="H62" s="32"/>
      <c r="I62" s="29">
        <v>8935.0</v>
      </c>
      <c r="J62" s="29">
        <f t="shared" si="14"/>
        <v>6754.866549</v>
      </c>
    </row>
    <row r="63">
      <c r="B63" s="35" t="s">
        <v>86</v>
      </c>
      <c r="C63" s="29">
        <v>3733.0</v>
      </c>
      <c r="D63" s="29"/>
      <c r="E63" s="37">
        <f t="shared" si="12"/>
        <v>3947.5</v>
      </c>
      <c r="F63" s="28">
        <f t="shared" si="13"/>
        <v>1.054338189</v>
      </c>
      <c r="G63" s="29">
        <v>4162.0</v>
      </c>
      <c r="H63" s="32"/>
      <c r="I63" s="29">
        <v>4405.0</v>
      </c>
      <c r="J63" s="29">
        <f t="shared" si="14"/>
        <v>4644.359721</v>
      </c>
    </row>
    <row r="64">
      <c r="B64" s="66" t="s">
        <v>87</v>
      </c>
      <c r="C64" s="67">
        <v>33917.0</v>
      </c>
      <c r="D64" s="67">
        <f>129518</f>
        <v>129518</v>
      </c>
      <c r="E64" s="69">
        <f t="shared" si="12"/>
        <v>34828</v>
      </c>
      <c r="F64" s="70">
        <f t="shared" si="13"/>
        <v>1.026157115</v>
      </c>
      <c r="G64" s="67">
        <v>35739.0</v>
      </c>
      <c r="H64" s="104">
        <f>118847</f>
        <v>118847</v>
      </c>
      <c r="I64" s="67">
        <v>56388.0</v>
      </c>
      <c r="J64" s="67">
        <f t="shared" si="14"/>
        <v>57862.9474</v>
      </c>
    </row>
    <row r="65">
      <c r="B65" s="35" t="s">
        <v>88</v>
      </c>
      <c r="C65" s="29">
        <v>16548.0</v>
      </c>
      <c r="D65" s="29"/>
      <c r="E65" s="37">
        <f>Average(C65,G65)</f>
        <v>17912</v>
      </c>
      <c r="F65" s="28">
        <f t="shared" si="13"/>
        <v>1.076150067</v>
      </c>
      <c r="G65" s="29">
        <v>19276.0</v>
      </c>
      <c r="H65" s="32"/>
      <c r="I65" s="29">
        <v>18208.0</v>
      </c>
      <c r="J65" s="29">
        <f t="shared" si="14"/>
        <v>19594.54042</v>
      </c>
    </row>
    <row r="66">
      <c r="B66" s="35" t="s">
        <v>47</v>
      </c>
      <c r="C66" s="29">
        <v>15381.0</v>
      </c>
      <c r="D66" s="29"/>
      <c r="E66" s="37">
        <f t="shared" ref="E66:E70" si="15">AVERAGE(C66,G66)</f>
        <v>16967</v>
      </c>
      <c r="F66" s="28">
        <f t="shared" si="13"/>
        <v>1.09347557</v>
      </c>
      <c r="G66" s="29">
        <v>18553.0</v>
      </c>
      <c r="H66" s="32"/>
      <c r="I66" s="29">
        <v>18446.0</v>
      </c>
      <c r="J66" s="29">
        <f t="shared" si="14"/>
        <v>20170.25037</v>
      </c>
    </row>
    <row r="67">
      <c r="B67" s="35" t="s">
        <v>89</v>
      </c>
      <c r="C67" s="29">
        <v>5443.0</v>
      </c>
      <c r="D67" s="29"/>
      <c r="E67" s="37">
        <f t="shared" si="15"/>
        <v>4303.5</v>
      </c>
      <c r="F67" s="28">
        <f t="shared" si="13"/>
        <v>0.7352155222</v>
      </c>
      <c r="G67" s="29">
        <v>3164.0</v>
      </c>
      <c r="H67" s="32"/>
      <c r="I67" s="29">
        <v>3464.0</v>
      </c>
      <c r="J67" s="29">
        <f t="shared" si="14"/>
        <v>2546.786569</v>
      </c>
    </row>
    <row r="68">
      <c r="B68" s="35" t="s">
        <v>83</v>
      </c>
      <c r="C68" s="29">
        <v>2375.0</v>
      </c>
      <c r="D68" s="29"/>
      <c r="E68" s="37">
        <f t="shared" si="15"/>
        <v>5186</v>
      </c>
      <c r="F68" s="28">
        <f t="shared" si="13"/>
        <v>1.542036251</v>
      </c>
      <c r="G68" s="29">
        <v>7997.0</v>
      </c>
      <c r="H68" s="32"/>
      <c r="I68" s="29">
        <v>10242.0</v>
      </c>
      <c r="J68" s="29">
        <f t="shared" si="14"/>
        <v>15793.53529</v>
      </c>
    </row>
    <row r="69">
      <c r="B69" s="24" t="s">
        <v>90</v>
      </c>
      <c r="C69" s="25">
        <v>39747.0</v>
      </c>
      <c r="D69" s="25">
        <f>79767</f>
        <v>79767</v>
      </c>
      <c r="E69" s="27">
        <f t="shared" si="15"/>
        <v>44368.5</v>
      </c>
      <c r="F69" s="31">
        <f t="shared" si="13"/>
        <v>1.104161736</v>
      </c>
      <c r="G69" s="25">
        <v>48990.0</v>
      </c>
      <c r="H69" s="104">
        <f>77813</f>
        <v>77813</v>
      </c>
      <c r="I69" s="25">
        <v>50360.0</v>
      </c>
      <c r="J69" s="25">
        <f t="shared" si="14"/>
        <v>55605.58504</v>
      </c>
    </row>
    <row r="70">
      <c r="B70" s="110" t="s">
        <v>91</v>
      </c>
      <c r="C70" s="106">
        <v>73664.0</v>
      </c>
      <c r="D70" s="106">
        <f>D64+D69</f>
        <v>209285</v>
      </c>
      <c r="E70" s="107">
        <f t="shared" si="15"/>
        <v>79196.5</v>
      </c>
      <c r="F70" s="108">
        <f t="shared" si="13"/>
        <v>1.069857885</v>
      </c>
      <c r="G70" s="106">
        <v>84729.0</v>
      </c>
      <c r="H70" s="109">
        <f>H64+H69</f>
        <v>196660</v>
      </c>
      <c r="I70" s="106">
        <v>106748.0</v>
      </c>
      <c r="J70" s="106">
        <f t="shared" si="14"/>
        <v>114205.1895</v>
      </c>
    </row>
    <row r="71">
      <c r="B71" s="81"/>
      <c r="C71" s="82"/>
      <c r="D71" s="82"/>
      <c r="E71" s="84"/>
      <c r="F71" s="85"/>
      <c r="G71" s="82"/>
      <c r="H71" s="109"/>
      <c r="I71" s="82"/>
      <c r="J71" s="82"/>
    </row>
    <row r="72">
      <c r="B72" s="81" t="s">
        <v>92</v>
      </c>
      <c r="C72" s="82">
        <v>294014.0</v>
      </c>
      <c r="D72" s="82">
        <f>D70+D58</f>
        <v>407097</v>
      </c>
      <c r="E72" s="84">
        <f>AVERAGE(C72,G72)</f>
        <v>326496</v>
      </c>
      <c r="F72" s="85">
        <f>G72/E72</f>
        <v>1.099486671</v>
      </c>
      <c r="G72" s="82">
        <v>358978.0</v>
      </c>
      <c r="H72" s="88">
        <f>H70+H58</f>
        <v>399194</v>
      </c>
      <c r="I72" s="82">
        <v>379848.0</v>
      </c>
      <c r="J72" s="82">
        <f>I72*F72</f>
        <v>417637.8128</v>
      </c>
    </row>
    <row r="73">
      <c r="C73" s="23"/>
      <c r="D73" s="23"/>
      <c r="E73" s="23"/>
      <c r="F73" s="49"/>
      <c r="G73" s="23"/>
      <c r="H73" s="23"/>
      <c r="I73" s="23"/>
      <c r="J73" s="23"/>
    </row>
    <row r="74" ht="22.5" customHeight="1">
      <c r="A74" s="1"/>
      <c r="B74" s="90" t="s">
        <v>93</v>
      </c>
      <c r="C74" s="92"/>
      <c r="D74" s="92"/>
      <c r="E74" s="92"/>
      <c r="F74" s="92"/>
      <c r="G74" s="92"/>
      <c r="H74" s="92"/>
      <c r="I74" s="92"/>
      <c r="J74" s="9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>
      <c r="A75" s="10"/>
      <c r="B75" s="111" t="s">
        <v>4</v>
      </c>
      <c r="C75" s="12" t="s">
        <v>6</v>
      </c>
      <c r="D75" s="15" t="s">
        <v>8</v>
      </c>
      <c r="E75" s="15" t="s">
        <v>10</v>
      </c>
      <c r="F75" s="17" t="s">
        <v>11</v>
      </c>
      <c r="G75" s="12" t="s">
        <v>13</v>
      </c>
      <c r="H75" s="112" t="s">
        <v>14</v>
      </c>
      <c r="I75" s="15" t="s">
        <v>15</v>
      </c>
      <c r="J75" s="15" t="s">
        <v>16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>
      <c r="B76" s="113" t="s">
        <v>94</v>
      </c>
      <c r="C76" s="114">
        <v>155050.0</v>
      </c>
      <c r="D76" s="114"/>
      <c r="E76" s="115">
        <v>101226.0</v>
      </c>
      <c r="F76" s="116">
        <f t="shared" ref="F76:F87" si="16">G76/E76</f>
        <v>2.101950092</v>
      </c>
      <c r="G76" s="114">
        <v>212772.0</v>
      </c>
      <c r="H76" s="88"/>
      <c r="I76" s="114">
        <v>92489.0</v>
      </c>
      <c r="J76" s="114">
        <f t="shared" ref="J76:J87" si="17">I76*F76</f>
        <v>194407.262</v>
      </c>
    </row>
    <row r="77">
      <c r="B77" s="117" t="s">
        <v>95</v>
      </c>
      <c r="C77" s="67">
        <v>88962.0</v>
      </c>
      <c r="D77" s="67"/>
      <c r="E77" s="69">
        <v>52057.0</v>
      </c>
      <c r="F77" s="70">
        <f t="shared" si="16"/>
        <v>2.324125478</v>
      </c>
      <c r="G77" s="67">
        <v>120987.0</v>
      </c>
      <c r="H77" s="104"/>
      <c r="I77" s="67">
        <v>52450.0</v>
      </c>
      <c r="J77" s="67">
        <f t="shared" si="17"/>
        <v>121900.3813</v>
      </c>
    </row>
    <row r="78">
      <c r="B78" s="118" t="s">
        <v>96</v>
      </c>
      <c r="C78" s="74">
        <v>-31634.0</v>
      </c>
      <c r="D78" s="74"/>
      <c r="E78" s="79">
        <v>-15606.0</v>
      </c>
      <c r="F78" s="80">
        <f t="shared" si="16"/>
        <v>2.241958221</v>
      </c>
      <c r="G78" s="74">
        <v>-34988.0</v>
      </c>
      <c r="H78" s="104"/>
      <c r="I78" s="74">
        <v>-25941.0</v>
      </c>
      <c r="J78" s="74">
        <f t="shared" si="17"/>
        <v>-58158.63822</v>
      </c>
    </row>
    <row r="79">
      <c r="B79" s="119" t="s">
        <v>19</v>
      </c>
      <c r="C79" s="120">
        <v>-50093.0</v>
      </c>
      <c r="D79" s="120">
        <f>-10877</f>
        <v>-10877</v>
      </c>
      <c r="E79" s="37">
        <v>-32000.0</v>
      </c>
      <c r="F79" s="28">
        <f t="shared" si="16"/>
        <v>1.8125</v>
      </c>
      <c r="G79" s="29">
        <v>-58000.0</v>
      </c>
      <c r="H79" s="32">
        <f>-15675</f>
        <v>-15675</v>
      </c>
      <c r="I79" s="29">
        <v>-46390.0</v>
      </c>
      <c r="J79" s="29">
        <f t="shared" si="17"/>
        <v>-84081.875</v>
      </c>
    </row>
    <row r="80">
      <c r="B80" s="119" t="s">
        <v>97</v>
      </c>
      <c r="C80" s="29">
        <v>-291.0</v>
      </c>
      <c r="D80" s="29"/>
      <c r="E80" s="37">
        <v>-216.0</v>
      </c>
      <c r="F80" s="28">
        <f t="shared" si="16"/>
        <v>1.111111111</v>
      </c>
      <c r="G80" s="29">
        <v>-240.0</v>
      </c>
      <c r="H80" s="32"/>
      <c r="I80" s="29">
        <v>-6.0</v>
      </c>
      <c r="J80" s="29">
        <f t="shared" si="17"/>
        <v>-6.666666667</v>
      </c>
    </row>
    <row r="81">
      <c r="B81" s="119" t="s">
        <v>98</v>
      </c>
      <c r="C81" s="29">
        <v>-479.0</v>
      </c>
      <c r="D81" s="29"/>
      <c r="E81" s="37">
        <v>-351.0</v>
      </c>
      <c r="F81" s="28">
        <f t="shared" si="16"/>
        <v>2.088319088</v>
      </c>
      <c r="G81" s="29">
        <v>-733.0</v>
      </c>
      <c r="H81" s="32"/>
      <c r="I81" s="29">
        <v>-634.0</v>
      </c>
      <c r="J81" s="29">
        <f t="shared" si="17"/>
        <v>-1323.994302</v>
      </c>
    </row>
    <row r="82">
      <c r="B82" s="119" t="s">
        <v>99</v>
      </c>
      <c r="C82" s="29">
        <v>5399.0</v>
      </c>
      <c r="D82" s="29"/>
      <c r="E82" s="37">
        <v>1197.0</v>
      </c>
      <c r="F82" s="28">
        <f t="shared" si="16"/>
        <v>2.59732665</v>
      </c>
      <c r="G82" s="29">
        <v>3109.0</v>
      </c>
      <c r="H82" s="32"/>
      <c r="I82" s="29">
        <v>12790.0</v>
      </c>
      <c r="J82" s="29">
        <f t="shared" si="17"/>
        <v>33219.80785</v>
      </c>
    </row>
    <row r="83">
      <c r="B83" s="119" t="s">
        <v>100</v>
      </c>
      <c r="C83" s="29">
        <v>-3019.0</v>
      </c>
      <c r="D83" s="29"/>
      <c r="E83" s="37">
        <v>-1299.0</v>
      </c>
      <c r="F83" s="28">
        <f t="shared" si="16"/>
        <v>2.277906082</v>
      </c>
      <c r="G83" s="29">
        <v>-2959.0</v>
      </c>
      <c r="H83" s="32"/>
      <c r="I83" s="29">
        <v>-1583.0</v>
      </c>
      <c r="J83" s="29">
        <f t="shared" si="17"/>
        <v>-3605.925327</v>
      </c>
    </row>
    <row r="84">
      <c r="B84" s="117" t="s">
        <v>101</v>
      </c>
      <c r="C84" s="67">
        <v>-48483.0</v>
      </c>
      <c r="D84" s="67"/>
      <c r="E84" s="69">
        <v>-32669.0</v>
      </c>
      <c r="F84" s="70">
        <f t="shared" si="16"/>
        <v>1.800575469</v>
      </c>
      <c r="G84" s="67">
        <v>-58823.0</v>
      </c>
      <c r="H84" s="104"/>
      <c r="I84" s="67">
        <v>-35823.0</v>
      </c>
      <c r="J84" s="67">
        <f t="shared" si="17"/>
        <v>-64502.01503</v>
      </c>
    </row>
    <row r="85">
      <c r="B85" s="113" t="s">
        <v>102</v>
      </c>
      <c r="C85" s="114">
        <v>8845.0</v>
      </c>
      <c r="D85" s="114"/>
      <c r="E85" s="115">
        <v>3782.0</v>
      </c>
      <c r="F85" s="116">
        <f t="shared" si="16"/>
        <v>7.185616076</v>
      </c>
      <c r="G85" s="114">
        <v>27176.0</v>
      </c>
      <c r="H85" s="109"/>
      <c r="I85" s="114">
        <v>-9314.0</v>
      </c>
      <c r="J85" s="114">
        <f t="shared" si="17"/>
        <v>-66926.82813</v>
      </c>
    </row>
    <row r="86">
      <c r="B86" s="119" t="s">
        <v>103</v>
      </c>
      <c r="C86" s="29">
        <v>12820.0</v>
      </c>
      <c r="D86" s="29"/>
      <c r="E86" s="37">
        <v>21665.0</v>
      </c>
      <c r="F86" s="28">
        <f t="shared" si="16"/>
        <v>1</v>
      </c>
      <c r="G86" s="29">
        <v>21665.0</v>
      </c>
      <c r="H86" s="32"/>
      <c r="I86" s="29">
        <v>48841.0</v>
      </c>
      <c r="J86" s="29">
        <f t="shared" si="17"/>
        <v>48841</v>
      </c>
    </row>
    <row r="87">
      <c r="B87" s="121" t="s">
        <v>104</v>
      </c>
      <c r="C87" s="42">
        <v>21665.0</v>
      </c>
      <c r="D87" s="42"/>
      <c r="E87" s="46">
        <v>25447.0</v>
      </c>
      <c r="F87" s="40">
        <f t="shared" si="16"/>
        <v>1.919322513</v>
      </c>
      <c r="G87" s="42">
        <v>48841.0</v>
      </c>
      <c r="H87" s="88"/>
      <c r="I87" s="42">
        <v>39527.0</v>
      </c>
      <c r="J87" s="42">
        <f t="shared" si="17"/>
        <v>75865.06099</v>
      </c>
    </row>
  </sheetData>
  <mergeCells count="6">
    <mergeCell ref="B6:J6"/>
    <mergeCell ref="B31:J31"/>
    <mergeCell ref="B74:J74"/>
    <mergeCell ref="B2:J2"/>
    <mergeCell ref="B3:J3"/>
    <mergeCell ref="B4:J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8.86"/>
    <col customWidth="1" min="2" max="2" width="37.57"/>
    <col customWidth="1" min="3" max="4" width="15.86"/>
    <col customWidth="1" min="5" max="5" width="1.43"/>
    <col customWidth="1" min="6" max="6" width="1.57"/>
    <col customWidth="1" min="7" max="8" width="15.86"/>
    <col customWidth="1" min="9" max="9" width="1.14"/>
  </cols>
  <sheetData>
    <row r="2">
      <c r="B2" s="2" t="s">
        <v>0</v>
      </c>
    </row>
    <row r="3">
      <c r="B3" s="3" t="s">
        <v>1</v>
      </c>
    </row>
    <row r="4">
      <c r="B4" s="6"/>
      <c r="C4" s="6"/>
      <c r="D4" s="6"/>
      <c r="E4" s="6"/>
      <c r="F4" s="6"/>
      <c r="G4" s="6"/>
      <c r="H4" s="6"/>
    </row>
    <row r="5">
      <c r="B5" s="6" t="s">
        <v>3</v>
      </c>
    </row>
    <row r="6">
      <c r="B6" s="9" t="s">
        <v>4</v>
      </c>
      <c r="C6" s="12" t="str">
        <f>'Financial Statements'!C7</f>
        <v>End 2017</v>
      </c>
      <c r="D6" s="12" t="str">
        <f>'Financial Statements'!D7</f>
        <v>End 2017 (BM)</v>
      </c>
      <c r="E6" s="20" t="str">
        <f>'Financial Statements'!E7</f>
        <v>Mid 2018</v>
      </c>
      <c r="F6" s="22"/>
      <c r="G6" s="22" t="str">
        <f>'Financial Statements'!G7</f>
        <v>End 2018</v>
      </c>
      <c r="H6" s="22" t="str">
        <f>'Financial Statements'!H7</f>
        <v>End 2018 (BM)</v>
      </c>
      <c r="I6" s="26" t="str">
        <f>'Financial Statements'!I7</f>
        <v>Mid 2019</v>
      </c>
      <c r="J6" s="12" t="str">
        <f>'Financial Statements'!J7</f>
        <v>End 2019 (proj.)</v>
      </c>
    </row>
    <row r="7">
      <c r="C7" s="28"/>
      <c r="D7" s="28"/>
      <c r="E7" s="30"/>
      <c r="F7" s="31"/>
      <c r="G7" s="31"/>
      <c r="H7" s="33"/>
      <c r="I7" s="34"/>
      <c r="J7" s="36"/>
    </row>
    <row r="8">
      <c r="B8" s="38" t="s">
        <v>21</v>
      </c>
      <c r="C8" s="40">
        <f t="shared" ref="C8:E8" si="1">AVERAGE(C9:C11)</f>
        <v>1.251968702</v>
      </c>
      <c r="D8" s="43">
        <f t="shared" si="1"/>
        <v>0.8822361795</v>
      </c>
      <c r="E8" s="47">
        <f t="shared" si="1"/>
        <v>1.467414945</v>
      </c>
      <c r="F8" s="40"/>
      <c r="G8" s="40">
        <f t="shared" ref="G8:J8" si="2">AVERAGE(G9:G11)</f>
        <v>1.642212696</v>
      </c>
      <c r="H8" s="43">
        <f t="shared" si="2"/>
        <v>0.9497341918</v>
      </c>
      <c r="I8" s="47">
        <f t="shared" si="2"/>
        <v>1.664290442</v>
      </c>
      <c r="J8" s="40">
        <f t="shared" si="2"/>
        <v>1.780038099</v>
      </c>
    </row>
    <row r="9">
      <c r="B9" s="7" t="s">
        <v>31</v>
      </c>
      <c r="C9" s="28">
        <f>'Financial Statements'!C49/'Financial Statements'!C69</f>
        <v>1.698769718</v>
      </c>
      <c r="D9" s="28">
        <f>'Financial Statements'!D49/'Financial Statements'!D69</f>
        <v>1.196033447</v>
      </c>
      <c r="E9" s="55">
        <f>'Financial Statements'!E49/'Financial Statements'!E69</f>
        <v>1.910848913</v>
      </c>
      <c r="F9" s="28"/>
      <c r="G9" s="28">
        <f>'Financial Statements'!G49/'Financial Statements'!G69</f>
        <v>2.082914881</v>
      </c>
      <c r="H9" s="63">
        <f>'Financial Statements'!H49/'Financial Statements'!H69</f>
        <v>1.252772673</v>
      </c>
      <c r="I9" s="65">
        <f>'Financial Statements'!I49/'Financial Statements'!I69</f>
        <v>2.103236696</v>
      </c>
      <c r="J9" s="28">
        <f>'Financial Statements'!J49/'Financial Statements'!J69</f>
        <v>2.292626581</v>
      </c>
    </row>
    <row r="10">
      <c r="B10" s="7" t="s">
        <v>45</v>
      </c>
      <c r="C10" s="28">
        <f>('Financial Statements'!C49-'Financial Statements'!C43)/'Financial Statements'!C69</f>
        <v>1.470576396</v>
      </c>
      <c r="D10" s="28">
        <f>('Financial Statements'!D49-'Financial Statements'!D43)/'Financial Statements'!D69</f>
        <v>1.196033447</v>
      </c>
      <c r="E10" s="55">
        <f>('Financial Statements'!E49-'Financial Statements'!E43)/'Financial Statements'!E69</f>
        <v>1.67767673</v>
      </c>
      <c r="F10" s="28"/>
      <c r="G10" s="28">
        <f>('Financial Statements'!G49-'Financial Statements'!G43)/'Financial Statements'!G69</f>
        <v>1.845703205</v>
      </c>
      <c r="H10" s="63">
        <f>('Financial Statements'!H49-'Financial Statements'!H43)/'Financial Statements'!H69</f>
        <v>1.252772673</v>
      </c>
      <c r="I10" s="65">
        <f>('Financial Statements'!I49-'Financial Statements'!I43)/'Financial Statements'!I69</f>
        <v>1.864078634</v>
      </c>
      <c r="J10" s="28">
        <f>('Financial Statements'!J49-'Financial Statements'!J43)/'Financial Statements'!J69</f>
        <v>2.049325327</v>
      </c>
    </row>
    <row r="11">
      <c r="B11" s="7" t="s">
        <v>49</v>
      </c>
      <c r="C11" s="28">
        <f>('Financial Statements'!C48+'Financial Statements'!C47)/'Financial Statements'!C69</f>
        <v>0.5865599919</v>
      </c>
      <c r="D11" s="28">
        <f>('Financial Statements'!D48+'Financial Statements'!D47)/'Financial Statements'!D69</f>
        <v>0.2546416438</v>
      </c>
      <c r="E11" s="55">
        <f>('Financial Statements'!E48+'Financial Statements'!E47)/'Financial Statements'!E69</f>
        <v>0.8137191927</v>
      </c>
      <c r="F11" s="28"/>
      <c r="G11" s="28">
        <f>('Financial Statements'!G48+'Financial Statements'!G47)/'Financial Statements'!G69</f>
        <v>0.9980200041</v>
      </c>
      <c r="H11" s="63">
        <f>('Financial Statements'!H48+'Financial Statements'!H47)/'Financial Statements'!H69</f>
        <v>0.3436572295</v>
      </c>
      <c r="I11" s="65">
        <f>('Financial Statements'!I48+'Financial Statements'!I47)/'Financial Statements'!I69</f>
        <v>1.025555997</v>
      </c>
      <c r="J11" s="28">
        <f>('Financial Statements'!J48+'Financial Statements'!J47)/'Financial Statements'!J69</f>
        <v>0.9981623894</v>
      </c>
    </row>
    <row r="12">
      <c r="C12" s="28"/>
      <c r="D12" s="28"/>
      <c r="E12" s="55"/>
      <c r="F12" s="28"/>
      <c r="G12" s="28"/>
      <c r="H12" s="63"/>
      <c r="I12" s="34"/>
      <c r="J12" s="36"/>
    </row>
    <row r="13">
      <c r="B13" s="38" t="s">
        <v>51</v>
      </c>
      <c r="C13" s="40">
        <f t="shared" ref="C13:E13" si="3">AVERAGE(C14:C17)</f>
        <v>0.3268252865</v>
      </c>
      <c r="D13" s="43">
        <f t="shared" si="3"/>
        <v>0.2285689482</v>
      </c>
      <c r="E13" s="47">
        <f t="shared" si="3"/>
        <v>0.3021527375</v>
      </c>
      <c r="F13" s="40"/>
      <c r="G13" s="40">
        <f t="shared" ref="G13:J13" si="4">AVERAGE(G14:G17)</f>
        <v>0.2896892238</v>
      </c>
      <c r="H13" s="43">
        <f t="shared" si="4"/>
        <v>0.1986929085</v>
      </c>
      <c r="I13" s="47">
        <f t="shared" si="4"/>
        <v>0.4201299083</v>
      </c>
      <c r="J13" s="40">
        <f t="shared" si="4"/>
        <v>0.395308955</v>
      </c>
    </row>
    <row r="14">
      <c r="B14" s="7" t="s">
        <v>52</v>
      </c>
      <c r="C14" s="28">
        <f>'Financial Statements'!C25/'Financial Statements'!C10</f>
        <v>0.2873008903</v>
      </c>
      <c r="D14" s="28">
        <f>'Financial Statements'!D25/'Financial Statements'!D10</f>
        <v>0.04307884696</v>
      </c>
      <c r="E14" s="65">
        <f>'Financial Statements'!E25/'Financial Statements'!E10</f>
        <v>0.3161990983</v>
      </c>
      <c r="F14" s="28"/>
      <c r="G14" s="28">
        <f>'Financial Statements'!G25/'Financial Statements'!G10</f>
        <v>0.3120497837</v>
      </c>
      <c r="H14" s="28">
        <f>'Financial Statements'!H25/'Financial Statements'!H10</f>
        <v>0.06028404563</v>
      </c>
      <c r="I14" s="65">
        <f>'Financial Statements'!I25/'Financial Statements'!I10</f>
        <v>0.2861754189</v>
      </c>
      <c r="J14" s="28">
        <f>'Financial Statements'!J25/'Financial Statements'!J10</f>
        <v>0.2824200893</v>
      </c>
    </row>
    <row r="15">
      <c r="B15" s="89" t="s">
        <v>57</v>
      </c>
      <c r="C15" s="91">
        <f>'Financial Statements'!C79/'Financial Statements'!C50*-1</f>
        <v>0.1703762406</v>
      </c>
      <c r="D15" s="91">
        <f>'Financial Statements'!D79/'Financial Statements'!D50*-1</f>
        <v>0.02671844794</v>
      </c>
      <c r="E15" s="93">
        <f>'Financial Statements'!E79/'Financial Statements'!E50*-1</f>
        <v>0.0980103891</v>
      </c>
      <c r="F15" s="91"/>
      <c r="G15" s="91">
        <f>'Financial Statements'!G79/'Financial Statements'!G50*-1</f>
        <v>0.1615697898</v>
      </c>
      <c r="H15" s="97">
        <f>'Financial Statements'!H79/'Financial Statements'!H50*-1</f>
        <v>0.03926662224</v>
      </c>
      <c r="I15" s="98">
        <f>'Financial Statements'!I79/'Financial Statements'!I50*-1</f>
        <v>0.1221277985</v>
      </c>
      <c r="J15" s="91">
        <f>'Financial Statements'!J79/'Financial Statements'!J50*-1</f>
        <v>0.2013272563</v>
      </c>
    </row>
    <row r="16">
      <c r="B16" s="89" t="s">
        <v>61</v>
      </c>
      <c r="C16" s="91">
        <f>'Financial Statements'!C79/'Financial Statements'!C29*-1</f>
        <v>0.6600042162</v>
      </c>
      <c r="D16" s="91">
        <f>'Financial Statements'!D79/'Financial Statements'!D29*-1</f>
        <v>0.8096017864</v>
      </c>
      <c r="E16" s="93">
        <f>'Financial Statements'!E79/'Financial Statements'!E29*-1</f>
        <v>0.6035572153</v>
      </c>
      <c r="F16" s="91"/>
      <c r="G16" s="91">
        <f>'Financial Statements'!G79/'Financial Statements'!G29*-1</f>
        <v>0.5221885101</v>
      </c>
      <c r="H16" s="97">
        <f>'Financial Statements'!H79/'Financial Statements'!H29*-1</f>
        <v>0.6556931314</v>
      </c>
      <c r="I16" s="98">
        <f>'Financial Statements'!I79/'Financial Statements'!I29*-1</f>
        <v>0.9891468901</v>
      </c>
      <c r="J16" s="91">
        <f>'Financial Statements'!J79/'Financial Statements'!J29*-1</f>
        <v>0.8557948238</v>
      </c>
    </row>
    <row r="17">
      <c r="B17" s="7" t="s">
        <v>68</v>
      </c>
      <c r="C17" s="28">
        <f>'Financial Statements'!C79/'Financial Statements'!C10*-1</f>
        <v>0.1896197989</v>
      </c>
      <c r="D17" s="28">
        <f>'Financial Statements'!D79/'Financial Statements'!D10*-1</f>
        <v>0.03487671145</v>
      </c>
      <c r="E17" s="55">
        <f>'Financial Statements'!E79/'Financial Statements'!E10*-1</f>
        <v>0.1908442472</v>
      </c>
      <c r="F17" s="28"/>
      <c r="G17" s="28">
        <f>'Financial Statements'!G79/'Financial Statements'!G10*-1</f>
        <v>0.1629488116</v>
      </c>
      <c r="H17" s="63">
        <f>'Financial Statements'!H79/'Financial Statements'!H10*-1</f>
        <v>0.03952783466</v>
      </c>
      <c r="I17" s="65">
        <f>'Financial Statements'!I79/'Financial Statements'!I10*-1</f>
        <v>0.2830695256</v>
      </c>
      <c r="J17" s="28">
        <f>'Financial Statements'!J79/'Financial Statements'!J10*-1</f>
        <v>0.2416936505</v>
      </c>
    </row>
    <row r="18">
      <c r="B18" s="41"/>
      <c r="C18" s="28"/>
      <c r="D18" s="28"/>
      <c r="E18" s="55"/>
      <c r="F18" s="28"/>
      <c r="G18" s="28"/>
      <c r="H18" s="63"/>
      <c r="I18" s="34"/>
      <c r="J18" s="36"/>
    </row>
    <row r="19">
      <c r="B19" s="38" t="s">
        <v>72</v>
      </c>
      <c r="C19" s="40">
        <f t="shared" ref="C19:E19" si="5">AVERAGE(C20:C21)</f>
        <v>0.292425204</v>
      </c>
      <c r="D19" s="43">
        <f t="shared" si="5"/>
        <v>0.7860453755</v>
      </c>
      <c r="E19" s="47">
        <f t="shared" si="5"/>
        <v>0.2814051414</v>
      </c>
      <c r="F19" s="40"/>
      <c r="G19" s="40">
        <f t="shared" ref="G19:J19" si="6">AVERAGE(G20:G21)</f>
        <v>0.2724887792</v>
      </c>
      <c r="H19" s="43">
        <f t="shared" si="6"/>
        <v>0.7318200686</v>
      </c>
      <c r="I19" s="47">
        <f t="shared" si="6"/>
        <v>0.335951669</v>
      </c>
      <c r="J19" s="40">
        <f t="shared" si="6"/>
        <v>0.3252713812</v>
      </c>
    </row>
    <row r="20">
      <c r="B20" s="7" t="s">
        <v>73</v>
      </c>
      <c r="C20" s="28">
        <f>'Financial Statements'!C70/'Financial Statements'!C58</f>
        <v>0.3343045155</v>
      </c>
      <c r="D20" s="28">
        <f>'Financial Statements'!D70/'Financial Statements'!D58</f>
        <v>1.057999515</v>
      </c>
      <c r="E20" s="55">
        <f>'Financial Statements'!E70/'Financial Statements'!E58</f>
        <v>0.3202452896</v>
      </c>
      <c r="F20" s="28"/>
      <c r="G20" s="28">
        <f>'Financial Statements'!G70/'Financial Statements'!G58</f>
        <v>0.3089491666</v>
      </c>
      <c r="H20" s="63">
        <f>'Financial Statements'!H70/'Financial Statements'!H58</f>
        <v>0.9709974622</v>
      </c>
      <c r="I20" s="65">
        <f>'Financial Statements'!I70/'Financial Statements'!I58</f>
        <v>0.3908751373</v>
      </c>
      <c r="J20" s="28">
        <f>'Financial Statements'!J70/'Financial Statements'!J58</f>
        <v>0.3770876633</v>
      </c>
    </row>
    <row r="21">
      <c r="B21" s="7" t="s">
        <v>77</v>
      </c>
      <c r="C21" s="28">
        <f>'Financial Statements'!C70/'Financial Statements'!C50</f>
        <v>0.2505458924</v>
      </c>
      <c r="D21" s="28">
        <f>'Financial Statements'!D70/'Financial Statements'!D50</f>
        <v>0.5140912362</v>
      </c>
      <c r="E21" s="55">
        <f>'Financial Statements'!E70/'Financial Statements'!E50</f>
        <v>0.2425649931</v>
      </c>
      <c r="F21" s="28"/>
      <c r="G21" s="28">
        <f>'Financial Statements'!G70/'Financial Statements'!G50</f>
        <v>0.2360283917</v>
      </c>
      <c r="H21" s="63">
        <f>'Financial Statements'!H70/'Financial Statements'!H50</f>
        <v>0.492642675</v>
      </c>
      <c r="I21" s="65">
        <f>'Financial Statements'!I70/'Financial Statements'!I50</f>
        <v>0.2810282008</v>
      </c>
      <c r="J21" s="28">
        <f>'Financial Statements'!J70/'Financial Statements'!J50</f>
        <v>0.2734550992</v>
      </c>
    </row>
    <row r="22">
      <c r="C22" s="28"/>
      <c r="D22" s="28"/>
      <c r="E22" s="28"/>
      <c r="F22" s="28"/>
      <c r="G22" s="28"/>
      <c r="H22" s="63"/>
      <c r="I22" s="36"/>
      <c r="J22" s="36"/>
    </row>
    <row r="23">
      <c r="C23" s="49"/>
      <c r="D23" s="49"/>
      <c r="E23" s="49"/>
      <c r="F23" s="49"/>
      <c r="G23" s="49"/>
      <c r="H23" s="49"/>
    </row>
    <row r="24">
      <c r="C24" s="49"/>
      <c r="D24" s="49"/>
      <c r="E24" s="49"/>
      <c r="F24" s="49"/>
      <c r="G24" s="49"/>
      <c r="H24" s="49"/>
    </row>
    <row r="25">
      <c r="C25" s="49"/>
      <c r="D25" s="49"/>
      <c r="E25" s="49"/>
      <c r="F25" s="49"/>
      <c r="G25" s="49"/>
      <c r="H25" s="49"/>
    </row>
    <row r="26">
      <c r="C26" s="49"/>
      <c r="D26" s="49"/>
      <c r="E26" s="49"/>
      <c r="F26" s="49"/>
      <c r="G26" s="49"/>
      <c r="H26" s="49"/>
    </row>
    <row r="27">
      <c r="C27" s="49"/>
      <c r="D27" s="49"/>
      <c r="E27" s="49"/>
      <c r="F27" s="49"/>
      <c r="G27" s="49"/>
      <c r="H27" s="49"/>
    </row>
    <row r="28">
      <c r="C28" s="49"/>
      <c r="D28" s="49"/>
      <c r="E28" s="49"/>
      <c r="F28" s="49"/>
      <c r="G28" s="49"/>
      <c r="H28" s="49"/>
    </row>
  </sheetData>
  <mergeCells count="3">
    <mergeCell ref="B5:H5"/>
    <mergeCell ref="B2:H2"/>
    <mergeCell ref="B3:H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9.86"/>
  </cols>
  <sheetData>
    <row r="2">
      <c r="B2" s="2" t="s">
        <v>0</v>
      </c>
    </row>
    <row r="3">
      <c r="B3" s="3" t="s">
        <v>1</v>
      </c>
      <c r="J3" s="4"/>
    </row>
    <row r="4">
      <c r="B4" s="6"/>
      <c r="C4" s="6"/>
      <c r="D4" s="6"/>
      <c r="E4" s="6"/>
      <c r="F4" s="6"/>
      <c r="G4" s="6"/>
      <c r="I4" s="7"/>
      <c r="J4" s="11"/>
    </row>
    <row r="5">
      <c r="B5" s="13" t="s">
        <v>7</v>
      </c>
      <c r="C5" s="14">
        <v>2000000.0</v>
      </c>
      <c r="D5" s="6"/>
      <c r="E5" s="6"/>
      <c r="F5" s="6"/>
      <c r="G5" s="6"/>
      <c r="I5" s="7"/>
      <c r="J5" s="11"/>
    </row>
    <row r="6">
      <c r="B6" s="13" t="s">
        <v>9</v>
      </c>
      <c r="C6" s="16">
        <v>0.05</v>
      </c>
      <c r="D6" s="6"/>
      <c r="E6" s="6"/>
      <c r="F6" s="6"/>
      <c r="G6" s="6"/>
      <c r="I6" s="7"/>
      <c r="J6" s="11"/>
    </row>
    <row r="7">
      <c r="B7" s="18" t="s">
        <v>12</v>
      </c>
      <c r="C7" s="21">
        <f>C5*C6</f>
        <v>100000</v>
      </c>
      <c r="D7" s="6"/>
      <c r="E7" s="6"/>
      <c r="F7" s="6"/>
      <c r="G7" s="6"/>
      <c r="J7" s="11"/>
    </row>
    <row r="8">
      <c r="B8" s="6"/>
      <c r="C8" s="6"/>
      <c r="D8" s="6"/>
      <c r="E8" s="6"/>
      <c r="F8" s="6"/>
      <c r="G8" s="6"/>
      <c r="J8" s="23"/>
    </row>
    <row r="9">
      <c r="B9" s="6" t="s">
        <v>18</v>
      </c>
      <c r="J9" s="23"/>
    </row>
    <row r="10">
      <c r="B10" s="9" t="s">
        <v>4</v>
      </c>
      <c r="C10" s="12" t="s">
        <v>6</v>
      </c>
      <c r="D10" s="15" t="s">
        <v>10</v>
      </c>
      <c r="E10" s="12" t="s">
        <v>13</v>
      </c>
      <c r="F10" s="15" t="s">
        <v>15</v>
      </c>
      <c r="G10" s="15" t="s">
        <v>16</v>
      </c>
    </row>
    <row r="11">
      <c r="B11" s="7" t="s">
        <v>19</v>
      </c>
      <c r="C11" s="29">
        <f>'Financial Statements'!C79*$C$6*-1</f>
        <v>2504.65</v>
      </c>
      <c r="D11" s="29">
        <f>'Financial Statements'!E79*$C$6*-1</f>
        <v>1600</v>
      </c>
      <c r="E11" s="29">
        <f>'Financial Statements'!G79*$C$6*-1</f>
        <v>2900</v>
      </c>
      <c r="F11" s="29">
        <f>'Financial Statements'!I79*$C$6*-1</f>
        <v>2319.5</v>
      </c>
      <c r="G11" s="29">
        <f>'Financial Statements'!J79*$C$6*-1</f>
        <v>4204.09375</v>
      </c>
    </row>
    <row r="12">
      <c r="B12" s="7" t="s">
        <v>22</v>
      </c>
      <c r="C12" s="28">
        <f t="shared" ref="C12:G12" si="1">C11/$C$7</f>
        <v>0.0250465</v>
      </c>
      <c r="D12" s="28">
        <f t="shared" si="1"/>
        <v>0.016</v>
      </c>
      <c r="E12" s="28">
        <f t="shared" si="1"/>
        <v>0.029</v>
      </c>
      <c r="F12" s="28">
        <f t="shared" si="1"/>
        <v>0.023195</v>
      </c>
      <c r="G12" s="28">
        <f t="shared" si="1"/>
        <v>0.0420409375</v>
      </c>
    </row>
    <row r="13">
      <c r="B13" s="41"/>
      <c r="C13" s="28"/>
      <c r="D13" s="28"/>
      <c r="E13" s="28"/>
      <c r="F13" s="28"/>
      <c r="G13" s="28"/>
    </row>
    <row r="14">
      <c r="B14" s="6" t="s">
        <v>24</v>
      </c>
      <c r="E14" s="6"/>
      <c r="F14" s="6"/>
      <c r="G14" s="6"/>
    </row>
    <row r="15">
      <c r="B15" s="9" t="s">
        <v>4</v>
      </c>
      <c r="C15" s="12" t="s">
        <v>6</v>
      </c>
      <c r="D15" s="15" t="s">
        <v>13</v>
      </c>
      <c r="E15" s="23"/>
      <c r="F15" s="23"/>
      <c r="G15" s="23"/>
    </row>
    <row r="16">
      <c r="B16" s="7" t="s">
        <v>25</v>
      </c>
      <c r="C16" s="45">
        <f>66.71</f>
        <v>66.71</v>
      </c>
      <c r="D16" s="45">
        <f>58.27</f>
        <v>58.27</v>
      </c>
      <c r="E16" s="23"/>
      <c r="F16" s="23"/>
      <c r="G16" s="23"/>
    </row>
    <row r="17">
      <c r="B17" s="7" t="s">
        <v>26</v>
      </c>
      <c r="C17" s="48">
        <v>1.88</v>
      </c>
      <c r="D17" s="48">
        <v>1.88</v>
      </c>
      <c r="E17" s="49"/>
      <c r="F17" s="49"/>
      <c r="G17" s="49"/>
    </row>
    <row r="19">
      <c r="B19" s="50" t="s">
        <v>29</v>
      </c>
      <c r="C19" s="51"/>
      <c r="D19" s="51"/>
    </row>
    <row r="20">
      <c r="B20" s="52" t="s">
        <v>4</v>
      </c>
      <c r="C20" s="53" t="s">
        <v>6</v>
      </c>
      <c r="D20" s="53" t="s">
        <v>13</v>
      </c>
    </row>
    <row r="21">
      <c r="B21" s="10" t="s">
        <v>25</v>
      </c>
      <c r="C21" s="54">
        <v>167.0</v>
      </c>
      <c r="D21" s="54">
        <v>166.0</v>
      </c>
    </row>
    <row r="22">
      <c r="B22" s="10" t="s">
        <v>26</v>
      </c>
      <c r="C22" s="56">
        <f>2.19+2.26+2.33+2.4</f>
        <v>9.18</v>
      </c>
      <c r="D22" s="56">
        <f>2.47+2.58+2.68+2.79</f>
        <v>10.52</v>
      </c>
    </row>
    <row r="24">
      <c r="B24" s="58" t="s">
        <v>37</v>
      </c>
    </row>
    <row r="25">
      <c r="B25" s="59" t="s">
        <v>4</v>
      </c>
      <c r="C25" s="59" t="s">
        <v>6</v>
      </c>
      <c r="D25" s="59" t="s">
        <v>8</v>
      </c>
      <c r="E25" s="59" t="s">
        <v>13</v>
      </c>
      <c r="F25" s="59" t="s">
        <v>14</v>
      </c>
      <c r="G25" s="59" t="s">
        <v>16</v>
      </c>
    </row>
    <row r="26">
      <c r="B26" s="61" t="s">
        <v>39</v>
      </c>
      <c r="C26" s="45"/>
      <c r="D26" s="45"/>
      <c r="E26" s="62"/>
      <c r="F26" s="64"/>
      <c r="G26" s="45"/>
    </row>
    <row r="27">
      <c r="B27" s="7" t="s">
        <v>43</v>
      </c>
      <c r="C27" s="45">
        <f>$C$7/C11</f>
        <v>39.92573813</v>
      </c>
      <c r="D27" s="45">
        <f>C16/C17</f>
        <v>35.48404255</v>
      </c>
      <c r="E27" s="62">
        <f>C7/E11</f>
        <v>34.48275862</v>
      </c>
      <c r="F27" s="64">
        <f>D16/D17</f>
        <v>30.99468085</v>
      </c>
      <c r="G27" s="45">
        <f>C7/G11</f>
        <v>23.78633921</v>
      </c>
    </row>
    <row r="28">
      <c r="B28" s="7" t="s">
        <v>46</v>
      </c>
      <c r="C28" s="28">
        <f>C11/C7</f>
        <v>0.0250465</v>
      </c>
      <c r="D28" s="28">
        <f>C17/C16</f>
        <v>0.02818168191</v>
      </c>
      <c r="E28" s="72">
        <f>E11/C7</f>
        <v>0.029</v>
      </c>
      <c r="F28" s="63">
        <f>D17/D16</f>
        <v>0.03226360048</v>
      </c>
      <c r="G28" s="28">
        <f>G11/C7</f>
        <v>0.0420409375</v>
      </c>
    </row>
    <row r="29">
      <c r="B29" s="75" t="s">
        <v>48</v>
      </c>
      <c r="C29" s="76"/>
      <c r="D29" s="76"/>
      <c r="E29" s="77"/>
      <c r="F29" s="24"/>
      <c r="G29" s="76"/>
    </row>
    <row r="30">
      <c r="B30" s="7" t="s">
        <v>43</v>
      </c>
      <c r="C30" s="45">
        <f t="shared" ref="C30:C31" si="2">C27</f>
        <v>39.92573813</v>
      </c>
      <c r="D30" s="45">
        <f>C21/C22</f>
        <v>18.19172113</v>
      </c>
      <c r="E30" s="62">
        <f t="shared" ref="E30:E31" si="3">E27</f>
        <v>34.48275862</v>
      </c>
      <c r="F30" s="64">
        <f>D21/D22</f>
        <v>15.77946768</v>
      </c>
      <c r="G30" s="45">
        <f t="shared" ref="G30:G31" si="4">G27</f>
        <v>23.78633921</v>
      </c>
    </row>
    <row r="31">
      <c r="B31" s="7" t="s">
        <v>46</v>
      </c>
      <c r="C31" s="28">
        <f t="shared" si="2"/>
        <v>0.0250465</v>
      </c>
      <c r="D31" s="28">
        <f>C22/C21</f>
        <v>0.05497005988</v>
      </c>
      <c r="E31" s="72">
        <f t="shared" si="3"/>
        <v>0.029</v>
      </c>
      <c r="F31" s="63">
        <f>D22/D21</f>
        <v>0.06337349398</v>
      </c>
      <c r="G31" s="28">
        <f t="shared" si="4"/>
        <v>0.0420409375</v>
      </c>
    </row>
  </sheetData>
  <mergeCells count="6">
    <mergeCell ref="B14:D14"/>
    <mergeCell ref="B9:G9"/>
    <mergeCell ref="B2:G2"/>
    <mergeCell ref="B3:G3"/>
    <mergeCell ref="B24:G24"/>
    <mergeCell ref="B19:D19"/>
  </mergeCells>
  <drawing r:id="rId1"/>
</worksheet>
</file>